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tabRatio="797" activeTab="2"/>
  </bookViews>
  <sheets>
    <sheet name="SCRS NPL Rollforward" sheetId="1" r:id="rId1"/>
    <sheet name="PORS NPL Rollforward" sheetId="2" r:id="rId2"/>
    <sheet name="Employer Specific Items" sheetId="3" r:id="rId3"/>
  </sheets>
  <externalReferences>
    <externalReference r:id="rId6"/>
  </externalReferences>
  <definedNames>
    <definedName name="__123Graph_A" localSheetId="1" hidden="1">'[1]TRSNEWS'!#REF!</definedName>
    <definedName name="__123Graph_A" hidden="1">'[1]TRSNEWS'!#REF!</definedName>
    <definedName name="__123Graph_B" localSheetId="1" hidden="1">'[1]TRSNEWS'!#REF!</definedName>
    <definedName name="__123Graph_B" hidden="1">'[1]TRSNEWS'!#REF!</definedName>
    <definedName name="__123Graph_X" localSheetId="1" hidden="1">'[1]TRSNEWS'!#REF!</definedName>
    <definedName name="__123Graph_X" hidden="1">'[1]TRSNEWS'!#REF!</definedName>
    <definedName name="_Fill" localSheetId="1" hidden="1">#REF!</definedName>
    <definedName name="_Fill" hidden="1">#REF!</definedName>
    <definedName name="_xlnm.Print_Area" localSheetId="2">'Employer Specific Items'!$A$1:$F$68</definedName>
    <definedName name="_xlnm.Print_Area" localSheetId="1">'PORS NPL Rollforward'!$A$1:$H$101</definedName>
    <definedName name="_xlnm.Print_Area" localSheetId="0">'SCRS NPL Rollforward'!$A$1:$J$104</definedName>
    <definedName name="_xlnm.Print_Titles" localSheetId="2">'Employer Specific Items'!$2:$2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fullCalcOnLoad="1"/>
</workbook>
</file>

<file path=xl/comments3.xml><?xml version="1.0" encoding="utf-8"?>
<comments xmlns="http://schemas.openxmlformats.org/spreadsheetml/2006/main">
  <authors>
    <author>Ashley M. Brindle</author>
  </authors>
  <commentList>
    <comment ref="C70" authorId="0">
      <text>
        <r>
          <rPr>
            <b/>
            <sz val="9"/>
            <rFont val="Tahoma"/>
            <family val="0"/>
          </rPr>
          <t>Ashley M. Brindle:</t>
        </r>
        <r>
          <rPr>
            <sz val="9"/>
            <rFont val="Tahoma"/>
            <family val="0"/>
          </rPr>
          <t xml:space="preserve">
update formula as appropriate</t>
        </r>
      </text>
    </comment>
    <comment ref="E70" authorId="0">
      <text>
        <r>
          <rPr>
            <b/>
            <sz val="9"/>
            <rFont val="Tahoma"/>
            <family val="0"/>
          </rPr>
          <t>Ashley M. Brindle:</t>
        </r>
        <r>
          <rPr>
            <sz val="9"/>
            <rFont val="Tahoma"/>
            <family val="0"/>
          </rPr>
          <t xml:space="preserve">
update formula as appropriate</t>
        </r>
      </text>
    </comment>
    <comment ref="C71" authorId="0">
      <text>
        <r>
          <rPr>
            <b/>
            <sz val="9"/>
            <rFont val="Tahoma"/>
            <family val="0"/>
          </rPr>
          <t>Ashley M. Brindle:</t>
        </r>
        <r>
          <rPr>
            <sz val="9"/>
            <rFont val="Tahoma"/>
            <family val="0"/>
          </rPr>
          <t xml:space="preserve">
update formula as appropriate</t>
        </r>
      </text>
    </comment>
    <comment ref="E71" authorId="0">
      <text>
        <r>
          <rPr>
            <b/>
            <sz val="9"/>
            <rFont val="Tahoma"/>
            <family val="0"/>
          </rPr>
          <t>Ashley M. Brindle:</t>
        </r>
        <r>
          <rPr>
            <sz val="9"/>
            <rFont val="Tahoma"/>
            <family val="0"/>
          </rPr>
          <t xml:space="preserve">
update formula as appropriate</t>
        </r>
      </text>
    </comment>
  </commentList>
</comments>
</file>

<file path=xl/sharedStrings.xml><?xml version="1.0" encoding="utf-8"?>
<sst xmlns="http://schemas.openxmlformats.org/spreadsheetml/2006/main" count="276" uniqueCount="107">
  <si>
    <t>Service cost (annual cost of current service), plus</t>
  </si>
  <si>
    <t>Interest on the total pension liability, plus</t>
  </si>
  <si>
    <t>Changes in plan benefits, plus</t>
  </si>
  <si>
    <t>Plan Administrative Costs, less</t>
  </si>
  <si>
    <t>Plan Member Contributions, less</t>
  </si>
  <si>
    <t>Expected return on plan assets, plus/less</t>
  </si>
  <si>
    <t>Amount</t>
  </si>
  <si>
    <t>Total Pension Liability</t>
  </si>
  <si>
    <t>Fiduciary Net Position</t>
  </si>
  <si>
    <t>Net Pension Liability</t>
  </si>
  <si>
    <t>Other</t>
  </si>
  <si>
    <t>Total Change in NPL</t>
  </si>
  <si>
    <t>Total Pension Expense</t>
  </si>
  <si>
    <t>South Carolina Retirement System</t>
  </si>
  <si>
    <t>South Carolina Police Officers Retirement System</t>
  </si>
  <si>
    <t>Amortization - 06.30.2014</t>
  </si>
  <si>
    <t>Amortization - 06.30.2015</t>
  </si>
  <si>
    <t>Amortization - 06.30.2016</t>
  </si>
  <si>
    <t>Amortization - 06.30.2017</t>
  </si>
  <si>
    <t>Amortization - 06.30.2018</t>
  </si>
  <si>
    <t>Amortization - 06.30.2019</t>
  </si>
  <si>
    <t xml:space="preserve">Difference between Expected and Actual Experience - </t>
  </si>
  <si>
    <t xml:space="preserve">Difference between Projected and Actual Investment Earnings - </t>
  </si>
  <si>
    <t>Recognition of current year amortization - Difference between projected and actual investment earnings</t>
  </si>
  <si>
    <r>
      <t>Amortization period</t>
    </r>
    <r>
      <rPr>
        <vertAlign val="superscript"/>
        <sz val="11"/>
        <color indexed="16"/>
        <rFont val="Calibri"/>
        <family val="2"/>
      </rPr>
      <t>1</t>
    </r>
  </si>
  <si>
    <r>
      <t>Amortization period</t>
    </r>
    <r>
      <rPr>
        <vertAlign val="superscript"/>
        <sz val="11"/>
        <color indexed="16"/>
        <rFont val="Calibri"/>
        <family val="2"/>
      </rPr>
      <t>2</t>
    </r>
  </si>
  <si>
    <t xml:space="preserve">Change In Deferred Outflows (Inflows) of Resources related to Pensions - </t>
  </si>
  <si>
    <t xml:space="preserve">Pension Expense - </t>
  </si>
  <si>
    <r>
      <rPr>
        <vertAlign val="superscript"/>
        <sz val="11"/>
        <color indexed="16"/>
        <rFont val="Calibri"/>
        <family val="2"/>
      </rPr>
      <t>1</t>
    </r>
    <r>
      <rPr>
        <sz val="11"/>
        <color indexed="16"/>
        <rFont val="Calibri"/>
        <family val="2"/>
      </rPr>
      <t xml:space="preserve"> Average remaining service lives of all employees provided with pensions through the plan at June 30 per Paragraph 71a of GASB 68</t>
    </r>
  </si>
  <si>
    <r>
      <rPr>
        <vertAlign val="superscript"/>
        <sz val="11"/>
        <color indexed="16"/>
        <rFont val="Calibri"/>
        <family val="2"/>
      </rPr>
      <t>2</t>
    </r>
    <r>
      <rPr>
        <sz val="11"/>
        <color indexed="16"/>
        <rFont val="Calibri"/>
        <family val="2"/>
      </rPr>
      <t xml:space="preserve"> 5 Years per Paragraph 71b of GASB 68</t>
    </r>
  </si>
  <si>
    <t>Amortization - 06.30.2020</t>
  </si>
  <si>
    <t>Amortization - Thereafter</t>
  </si>
  <si>
    <t>Components of Change in Collective NPL:</t>
  </si>
  <si>
    <t>Details Regarding Collective Deferred Outflows (Inflows) of Resources:</t>
  </si>
  <si>
    <t>SCRS</t>
  </si>
  <si>
    <t>PORS</t>
  </si>
  <si>
    <t>Net Pension Liability - Change in Proportionate Share</t>
  </si>
  <si>
    <t>Collective Deferrals - Change in Proportionate Share</t>
  </si>
  <si>
    <t>Totals</t>
  </si>
  <si>
    <t>Deferred Outflow/(Inflow) for Difference Between Actual Employer Contributions and Proportionate Share of Employer Contributions</t>
  </si>
  <si>
    <t>Average of expected remaining service lives (active and inactive) as of the beginning of the current measurement period.</t>
  </si>
  <si>
    <t>Amortization of Deferred Outflow/(Inflow) for Difference Between Actual Employer Contributions and Proportionate Share of Employer Contributions</t>
  </si>
  <si>
    <t>Total Amortization of Employer-Specific Deferrals</t>
  </si>
  <si>
    <t>Total Employer-Specific Deferrals</t>
  </si>
  <si>
    <t>Amortization of Employer-Specific Deferrals</t>
  </si>
  <si>
    <t>Difference Between Actual Employer Contributions &amp; Proportionate Share of Total Plan Employer Contributions</t>
  </si>
  <si>
    <t>Employer Code</t>
  </si>
  <si>
    <t>Employer Proportionate Share</t>
  </si>
  <si>
    <t>UPDATE GREEN SHADED CELLS ONLY. THE REST WILL FILL IN BASED ON FORMULAS.</t>
  </si>
  <si>
    <t>Initial Balance</t>
  </si>
  <si>
    <t>06.30.2014</t>
  </si>
  <si>
    <t>06.30.2015</t>
  </si>
  <si>
    <t>06.30.2016</t>
  </si>
  <si>
    <t>Collective Totals</t>
  </si>
  <si>
    <t>Employer proportionate share</t>
  </si>
  <si>
    <t>Amortization - 06.30.2021</t>
  </si>
  <si>
    <r>
      <t xml:space="preserve">Deferred Outflow (Inflow) of Resources - </t>
    </r>
    <r>
      <rPr>
        <b/>
        <i/>
        <sz val="12"/>
        <color indexed="8"/>
        <rFont val="Calibri"/>
        <family val="2"/>
      </rPr>
      <t>Difference between expected and actual experience</t>
    </r>
  </si>
  <si>
    <r>
      <t xml:space="preserve">Deferred Outflow (Inflows) of Resources - </t>
    </r>
    <r>
      <rPr>
        <b/>
        <i/>
        <sz val="12"/>
        <color indexed="8"/>
        <rFont val="Calibri"/>
        <family val="2"/>
      </rPr>
      <t>Difference between projected and actual investment earnings</t>
    </r>
  </si>
  <si>
    <t>Employer's Share of Collective NPL</t>
  </si>
  <si>
    <t>Outflow balance</t>
  </si>
  <si>
    <t>Inflow balance</t>
  </si>
  <si>
    <t>Net Deferred Outflow/(Inflow)</t>
  </si>
  <si>
    <t>Net Change FYE June 30, 2017</t>
  </si>
  <si>
    <t>Actual Employer Contributions (per the Systems' June 30, 2017 audited financial statements)</t>
  </si>
  <si>
    <t>06.30.2017 Amortization of 06.30.2014 Balance of Deferred Outflow of Resources</t>
  </si>
  <si>
    <t>06.30.2017 Amortization of 06.30.2015 Balance of Deferred (Inflow) of Resources</t>
  </si>
  <si>
    <t>06.30.2017 Amortization of 06.30.2016 Balance of Deferred Outflow of Resources</t>
  </si>
  <si>
    <t xml:space="preserve">06.30.2017 Amortization of 06.30.2014 Balance of Deferred (Inflow) of Resources </t>
  </si>
  <si>
    <t xml:space="preserve">06.30.2017 Amortization of 06.30.2015 Balance of Deferred Outflow of Resources </t>
  </si>
  <si>
    <t xml:space="preserve">06.30.2017 Amortization of 06.30.2016 Balance of Deferred Outflow of Resources </t>
  </si>
  <si>
    <r>
      <t xml:space="preserve">Difference between </t>
    </r>
    <r>
      <rPr>
        <b/>
        <sz val="11"/>
        <color indexed="30"/>
        <rFont val="Calibri"/>
        <family val="2"/>
      </rPr>
      <t>Net Change FYE June 30, 2017</t>
    </r>
    <r>
      <rPr>
        <b/>
        <sz val="11"/>
        <rFont val="Calibri"/>
        <family val="2"/>
      </rPr>
      <t xml:space="preserve"> and Total Change in NPL</t>
    </r>
  </si>
  <si>
    <t>Amortization remaining at 6.30.2017</t>
  </si>
  <si>
    <t>Amortization - 06.30.2022</t>
  </si>
  <si>
    <t>06.30.2017</t>
  </si>
  <si>
    <r>
      <t xml:space="preserve">06.30.2017 Initial Balance of Deferred </t>
    </r>
    <r>
      <rPr>
        <sz val="11"/>
        <color theme="1"/>
        <rFont val="Calibri"/>
        <family val="2"/>
      </rPr>
      <t xml:space="preserve">Outflow of Resources </t>
    </r>
  </si>
  <si>
    <r>
      <t xml:space="preserve">06.30.2017 Amortization of 06.30.2017 Balance of Deferred </t>
    </r>
    <r>
      <rPr>
        <sz val="11"/>
        <color theme="1"/>
        <rFont val="Calibri"/>
        <family val="2"/>
      </rPr>
      <t>Outflow of Resources</t>
    </r>
  </si>
  <si>
    <t xml:space="preserve">Assumption changes - </t>
  </si>
  <si>
    <r>
      <t>06.30.2017 Amortization of 06.30.2017 Balance of Deferred (</t>
    </r>
    <r>
      <rPr>
        <sz val="11"/>
        <color theme="1"/>
        <rFont val="Calibri"/>
        <family val="2"/>
      </rPr>
      <t xml:space="preserve">Inflow) of Resources </t>
    </r>
  </si>
  <si>
    <t xml:space="preserve">06.30.2017 Initial Balance of Deferred (Inflow) of Resources </t>
  </si>
  <si>
    <t>Share of 06.30.2016 NPL at 06.30.2016 (per 06.30.2016 audit report)</t>
  </si>
  <si>
    <t>Share of 06.30.2016 NPL at 07.01.2016 (using 06.30.2017 proportionate share)</t>
  </si>
  <si>
    <t>Share of 06.30.2016 Collective Deferred Outflows at 06.30.2016 (per 06.30.2016 audit report)</t>
  </si>
  <si>
    <t>Share of 06.30.2016 Collective Deferred Outflows at 07.01.2016  (using 06.30.2017 proportionate share)</t>
  </si>
  <si>
    <t>Share of 06.30.2016 Collective Deferred Inflows at 06.30.2016 (per 06.30.2016 audit report)</t>
  </si>
  <si>
    <t>Share of 06.30.2016 Collective Deferred Inflows at 07.01.2016  (using 06.30.2017 proportionate share)</t>
  </si>
  <si>
    <t>Total Change in Proportionate Share of 06.30.2016 Collective Deferrals</t>
  </si>
  <si>
    <t>Change in Proportionate Share of 06.30.2016 NPL</t>
  </si>
  <si>
    <t>FY2017 Total Employer Contributions</t>
  </si>
  <si>
    <t>Proportionate Share of FY2017 Total Employer Contributions</t>
  </si>
  <si>
    <t>Actual FY2017 Employer Contributions</t>
  </si>
  <si>
    <t>Amortization of Change in Proportionate Share of 06.30.2016 NPL</t>
  </si>
  <si>
    <t>Amortization of Change in Proportionate Share of 06.30.2016 Collective Deferrals</t>
  </si>
  <si>
    <t>June 30, 2016 employer-specific deferrals recognized in June 30, 2017 pension expense</t>
  </si>
  <si>
    <t>Total employer specific deferral recognized in June 30, 2017 pension expense</t>
  </si>
  <si>
    <t>Outstanding balance of June 30, 2015 employer-specific deferrals (outflow/(inflow)) at June 30, 2017</t>
  </si>
  <si>
    <t>June 30, 2015 employer-specific deferrals recognized in June 30, 2017 pension expense</t>
  </si>
  <si>
    <t>Outstanding balance of June 30, 2016 employer-specific deferrals (outflow/(inflow)) at June 30, 2017</t>
  </si>
  <si>
    <t xml:space="preserve">06.30.2017 Initial Balance of Deferred Outflow of Resources </t>
  </si>
  <si>
    <t>06.30.2017 Amortization of 06.30.2015 Balance of Deferred Outflow of Resources</t>
  </si>
  <si>
    <t>06.30.2017 Amortization of 06.30.2017 Balance of Deferred Outflow of Resources</t>
  </si>
  <si>
    <t>Recognition of current year amortization - Difference between expected and actual experience &amp; assumption changes</t>
  </si>
  <si>
    <t xml:space="preserve">06.30.2017 Amortization of 06.30.2017 Balance of Deferred (Inflow) of Resources </t>
  </si>
  <si>
    <r>
      <t xml:space="preserve">Deferred Outflow (Inflows) of Resources - </t>
    </r>
    <r>
      <rPr>
        <b/>
        <i/>
        <sz val="12"/>
        <color indexed="8"/>
        <rFont val="Calibri"/>
        <family val="2"/>
      </rPr>
      <t>Assumption changes</t>
    </r>
  </si>
  <si>
    <t>June 30, 2017 employer-specific deferral recognized in June 30, 2017 pension expense</t>
  </si>
  <si>
    <t>Outstanding balance of June 30, 2017 employer-specific deferrals (outflow/(inflow)) at June 30, 2017</t>
  </si>
  <si>
    <t>Total Outstanding Balance of Deferred Outflows at June 30, 2017</t>
  </si>
  <si>
    <t>Total Outstanding Balance of Deferred Inflows at June 30,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</si>
</sst>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0.00000%"/>
    <numFmt numFmtId="168" formatCode="0.00000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6"/>
      <name val="Calibri"/>
      <family val="2"/>
    </font>
    <font>
      <vertAlign val="superscript"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30"/>
      <name val="Century Gothic"/>
      <family val="2"/>
    </font>
    <font>
      <b/>
      <u val="single"/>
      <sz val="12"/>
      <color indexed="16"/>
      <name val="Calibri"/>
      <family val="2"/>
    </font>
    <font>
      <b/>
      <i/>
      <sz val="12"/>
      <color indexed="8"/>
      <name val="Calibri"/>
      <family val="2"/>
    </font>
    <font>
      <b/>
      <u val="single"/>
      <sz val="14"/>
      <color indexed="16"/>
      <name val="Calibri"/>
      <family val="2"/>
    </font>
    <font>
      <sz val="14"/>
      <color indexed="8"/>
      <name val="Calibri"/>
      <family val="2"/>
    </font>
    <font>
      <b/>
      <sz val="11"/>
      <color indexed="1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sz val="12"/>
      <color rgb="FF1260A7"/>
      <name val="Calibri"/>
      <family val="2"/>
    </font>
    <font>
      <b/>
      <i/>
      <sz val="11"/>
      <color rgb="FF1260A7"/>
      <name val="Calibri"/>
      <family val="2"/>
    </font>
    <font>
      <b/>
      <sz val="12"/>
      <color rgb="FF1260A7"/>
      <name val="Calibri"/>
      <family val="2"/>
    </font>
    <font>
      <b/>
      <sz val="14"/>
      <color rgb="FF1260A7"/>
      <name val="Calibri"/>
      <family val="2"/>
    </font>
    <font>
      <sz val="11"/>
      <color rgb="FF1260A7"/>
      <name val="Calibri"/>
      <family val="2"/>
    </font>
    <font>
      <sz val="11"/>
      <color rgb="FFA50000"/>
      <name val="Calibri"/>
      <family val="2"/>
    </font>
    <font>
      <b/>
      <sz val="14"/>
      <color theme="1"/>
      <name val="Calibri"/>
      <family val="2"/>
    </font>
    <font>
      <b/>
      <sz val="11"/>
      <color rgb="FF1260A7"/>
      <name val="Calibri"/>
      <family val="2"/>
    </font>
    <font>
      <b/>
      <u val="single"/>
      <sz val="12"/>
      <color rgb="FFA50000"/>
      <name val="Calibri"/>
      <family val="2"/>
    </font>
    <font>
      <sz val="14"/>
      <color theme="1"/>
      <name val="Calibri"/>
      <family val="2"/>
    </font>
    <font>
      <b/>
      <sz val="11"/>
      <color rgb="FFA50000"/>
      <name val="Calibri"/>
      <family val="2"/>
    </font>
    <font>
      <b/>
      <u val="single"/>
      <sz val="14"/>
      <color rgb="FFA50000"/>
      <name val="Calibri"/>
      <family val="2"/>
    </font>
    <font>
      <b/>
      <sz val="15"/>
      <color rgb="FF1260A7"/>
      <name val="Century Gothic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0B8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>
        <color rgb="FFA0B810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medium">
        <color rgb="FFA0B810"/>
      </bottom>
    </border>
    <border>
      <left/>
      <right/>
      <top style="medium">
        <color rgb="FFA0B810"/>
      </top>
      <bottom style="medium">
        <color rgb="FFA0B810"/>
      </bottom>
    </border>
    <border>
      <left/>
      <right/>
      <top style="thin">
        <color rgb="FFA0B81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65" fontId="4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readingOrder="1"/>
    </xf>
    <xf numFmtId="0" fontId="4" fillId="0" borderId="0" xfId="0" applyFont="1" applyAlignment="1">
      <alignment wrapText="1" readingOrder="1"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60" fillId="0" borderId="0" xfId="0" applyFont="1" applyBorder="1" applyAlignment="1">
      <alignment/>
    </xf>
    <xf numFmtId="166" fontId="0" fillId="0" borderId="0" xfId="45" applyNumberFormat="1" applyFont="1" applyAlignment="1">
      <alignment/>
    </xf>
    <xf numFmtId="166" fontId="0" fillId="0" borderId="10" xfId="45" applyNumberFormat="1" applyFont="1" applyBorder="1" applyAlignment="1">
      <alignment/>
    </xf>
    <xf numFmtId="166" fontId="6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61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0" fontId="4" fillId="0" borderId="0" xfId="0" applyFont="1" applyAlignment="1">
      <alignment horizontal="left" wrapText="1" readingOrder="1"/>
    </xf>
    <xf numFmtId="0" fontId="0" fillId="0" borderId="0" xfId="0" applyBorder="1" applyAlignment="1">
      <alignment/>
    </xf>
    <xf numFmtId="166" fontId="0" fillId="0" borderId="0" xfId="45" applyNumberFormat="1" applyFont="1" applyBorder="1" applyAlignment="1">
      <alignment/>
    </xf>
    <xf numFmtId="0" fontId="62" fillId="0" borderId="0" xfId="0" applyFont="1" applyBorder="1" applyAlignment="1">
      <alignment/>
    </xf>
    <xf numFmtId="0" fontId="4" fillId="0" borderId="0" xfId="0" applyFont="1" applyAlignment="1">
      <alignment horizontal="left" wrapText="1" readingOrder="1"/>
    </xf>
    <xf numFmtId="0" fontId="63" fillId="0" borderId="0" xfId="0" applyFont="1" applyAlignment="1">
      <alignment wrapText="1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65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7" fillId="0" borderId="12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right" vertic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6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7" fillId="0" borderId="13" xfId="0" applyFont="1" applyBorder="1" applyAlignment="1">
      <alignment horizontal="center" wrapText="1"/>
    </xf>
    <xf numFmtId="43" fontId="6" fillId="0" borderId="0" xfId="42" applyFont="1" applyAlignment="1">
      <alignment horizontal="right" readingOrder="1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left" wrapText="1"/>
    </xf>
    <xf numFmtId="0" fontId="69" fillId="0" borderId="14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left" wrapText="1"/>
    </xf>
    <xf numFmtId="164" fontId="0" fillId="0" borderId="0" xfId="0" applyNumberFormat="1" applyBorder="1" applyAlignment="1">
      <alignment/>
    </xf>
    <xf numFmtId="0" fontId="67" fillId="0" borderId="0" xfId="0" applyFont="1" applyBorder="1" applyAlignment="1">
      <alignment horizontal="left" wrapText="1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164" fontId="57" fillId="0" borderId="0" xfId="0" applyNumberFormat="1" applyFont="1" applyAlignment="1">
      <alignment/>
    </xf>
    <xf numFmtId="164" fontId="57" fillId="0" borderId="0" xfId="44" applyNumberFormat="1" applyFont="1" applyAlignment="1">
      <alignment/>
    </xf>
    <xf numFmtId="164" fontId="57" fillId="0" borderId="0" xfId="42" applyNumberFormat="1" applyFont="1" applyAlignment="1">
      <alignment/>
    </xf>
    <xf numFmtId="164" fontId="57" fillId="0" borderId="0" xfId="44" applyNumberFormat="1" applyFont="1" applyBorder="1" applyAlignment="1">
      <alignment/>
    </xf>
    <xf numFmtId="164" fontId="57" fillId="0" borderId="0" xfId="42" applyNumberFormat="1" applyFont="1" applyBorder="1" applyAlignment="1">
      <alignment/>
    </xf>
    <xf numFmtId="166" fontId="57" fillId="0" borderId="0" xfId="45" applyNumberFormat="1" applyFont="1" applyBorder="1" applyAlignment="1">
      <alignment/>
    </xf>
    <xf numFmtId="166" fontId="57" fillId="0" borderId="0" xfId="45" applyNumberFormat="1" applyFont="1" applyBorder="1" applyAlignment="1">
      <alignment/>
    </xf>
    <xf numFmtId="166" fontId="57" fillId="0" borderId="0" xfId="45" applyNumberFormat="1" applyFont="1" applyAlignment="1">
      <alignment/>
    </xf>
    <xf numFmtId="166" fontId="0" fillId="0" borderId="0" xfId="45" applyNumberFormat="1" applyFont="1" applyAlignment="1">
      <alignment horizontal="center"/>
    </xf>
    <xf numFmtId="0" fontId="67" fillId="0" borderId="0" xfId="0" applyFont="1" applyBorder="1" applyAlignment="1">
      <alignment horizontal="right" wrapText="1"/>
    </xf>
    <xf numFmtId="0" fontId="67" fillId="0" borderId="0" xfId="0" applyFont="1" applyAlignment="1">
      <alignment/>
    </xf>
    <xf numFmtId="166" fontId="67" fillId="0" borderId="0" xfId="45" applyNumberFormat="1" applyFont="1" applyAlignment="1">
      <alignment/>
    </xf>
    <xf numFmtId="164" fontId="0" fillId="33" borderId="0" xfId="42" applyNumberFormat="1" applyFont="1" applyFill="1" applyAlignment="1">
      <alignment/>
    </xf>
    <xf numFmtId="167" fontId="0" fillId="33" borderId="15" xfId="59" applyNumberFormat="1" applyFont="1" applyFill="1" applyBorder="1" applyAlignment="1">
      <alignment horizontal="center"/>
    </xf>
    <xf numFmtId="168" fontId="0" fillId="33" borderId="15" xfId="59" applyNumberFormat="1" applyFont="1" applyFill="1" applyBorder="1" applyAlignment="1">
      <alignment horizontal="center"/>
    </xf>
    <xf numFmtId="166" fontId="0" fillId="0" borderId="0" xfId="45" applyNumberFormat="1" applyFont="1" applyBorder="1" applyAlignment="1">
      <alignment/>
    </xf>
    <xf numFmtId="49" fontId="69" fillId="33" borderId="0" xfId="0" applyNumberFormat="1" applyFont="1" applyFill="1" applyAlignment="1">
      <alignment horizontal="center"/>
    </xf>
    <xf numFmtId="166" fontId="0" fillId="0" borderId="0" xfId="45" applyNumberFormat="1" applyFont="1" applyAlignment="1">
      <alignment/>
    </xf>
    <xf numFmtId="0" fontId="68" fillId="0" borderId="0" xfId="0" applyFont="1" applyAlignment="1">
      <alignment vertical="center" wrapText="1"/>
    </xf>
    <xf numFmtId="0" fontId="71" fillId="0" borderId="0" xfId="0" applyFont="1" applyAlignment="1">
      <alignment horizont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center" wrapText="1"/>
    </xf>
    <xf numFmtId="164" fontId="0" fillId="0" borderId="0" xfId="42" applyNumberFormat="1" applyFont="1" applyBorder="1" applyAlignment="1">
      <alignment/>
    </xf>
    <xf numFmtId="0" fontId="70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/>
    </xf>
    <xf numFmtId="166" fontId="57" fillId="0" borderId="0" xfId="45" applyNumberFormat="1" applyFont="1" applyAlignment="1">
      <alignment/>
    </xf>
    <xf numFmtId="0" fontId="60" fillId="0" borderId="0" xfId="0" applyFont="1" applyBorder="1" applyAlignment="1">
      <alignment horizontal="left"/>
    </xf>
    <xf numFmtId="0" fontId="68" fillId="0" borderId="0" xfId="0" applyFont="1" applyFill="1" applyBorder="1" applyAlignment="1">
      <alignment horizontal="right" vertical="center"/>
    </xf>
    <xf numFmtId="164" fontId="57" fillId="0" borderId="0" xfId="0" applyNumberFormat="1" applyFont="1" applyAlignment="1">
      <alignment horizontal="center"/>
    </xf>
    <xf numFmtId="164" fontId="57" fillId="0" borderId="0" xfId="0" applyNumberFormat="1" applyFont="1" applyAlignment="1">
      <alignment/>
    </xf>
    <xf numFmtId="49" fontId="69" fillId="0" borderId="0" xfId="0" applyNumberFormat="1" applyFont="1" applyAlignment="1">
      <alignment horizontal="center"/>
    </xf>
    <xf numFmtId="164" fontId="0" fillId="0" borderId="0" xfId="42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57" fillId="0" borderId="0" xfId="0" applyFont="1" applyAlignment="1">
      <alignment horizontal="right"/>
    </xf>
    <xf numFmtId="164" fontId="57" fillId="0" borderId="0" xfId="0" applyNumberFormat="1" applyFont="1" applyAlignment="1">
      <alignment horizontal="left"/>
    </xf>
    <xf numFmtId="166" fontId="57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/>
    </xf>
    <xf numFmtId="0" fontId="72" fillId="0" borderId="0" xfId="0" applyFont="1" applyAlignment="1">
      <alignment/>
    </xf>
    <xf numFmtId="0" fontId="60" fillId="0" borderId="16" xfId="0" applyFont="1" applyBorder="1" applyAlignment="1">
      <alignment horizontal="left" wrapText="1"/>
    </xf>
    <xf numFmtId="0" fontId="73" fillId="0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164" fontId="0" fillId="0" borderId="15" xfId="0" applyNumberForma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0" fillId="0" borderId="0" xfId="45" applyNumberFormat="1" applyFont="1" applyAlignment="1">
      <alignment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166" fontId="57" fillId="0" borderId="0" xfId="45" applyNumberFormat="1" applyFont="1" applyBorder="1" applyAlignment="1">
      <alignment horizontal="right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 readingOrder="1"/>
    </xf>
    <xf numFmtId="166" fontId="57" fillId="0" borderId="0" xfId="45" applyNumberFormat="1" applyFont="1" applyBorder="1" applyAlignment="1">
      <alignment horizontal="right"/>
    </xf>
    <xf numFmtId="166" fontId="57" fillId="0" borderId="0" xfId="45" applyNumberFormat="1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164" fontId="0" fillId="0" borderId="0" xfId="45" applyNumberFormat="1" applyFont="1" applyAlignment="1">
      <alignment/>
    </xf>
    <xf numFmtId="0" fontId="0" fillId="0" borderId="0" xfId="0" applyFont="1" applyAlignment="1">
      <alignment horizontal="left" wrapText="1" readingOrder="1"/>
    </xf>
    <xf numFmtId="0" fontId="60" fillId="0" borderId="16" xfId="0" applyFont="1" applyBorder="1" applyAlignment="1">
      <alignment/>
    </xf>
    <xf numFmtId="0" fontId="60" fillId="0" borderId="0" xfId="0" applyFont="1" applyBorder="1" applyAlignment="1">
      <alignment/>
    </xf>
    <xf numFmtId="166" fontId="57" fillId="0" borderId="0" xfId="45" applyNumberFormat="1" applyFont="1" applyBorder="1" applyAlignment="1">
      <alignment horizontal="center"/>
    </xf>
    <xf numFmtId="166" fontId="57" fillId="0" borderId="0" xfId="45" applyNumberFormat="1" applyFont="1" applyBorder="1" applyAlignment="1">
      <alignment horizontal="right"/>
    </xf>
    <xf numFmtId="166" fontId="57" fillId="0" borderId="0" xfId="45" applyNumberFormat="1" applyFont="1" applyAlignment="1">
      <alignment horizontal="center"/>
    </xf>
    <xf numFmtId="0" fontId="6" fillId="0" borderId="0" xfId="0" applyFont="1" applyAlignment="1">
      <alignment readingOrder="1"/>
    </xf>
    <xf numFmtId="44" fontId="57" fillId="0" borderId="0" xfId="45" applyFont="1" applyAlignment="1">
      <alignment/>
    </xf>
    <xf numFmtId="166" fontId="0" fillId="0" borderId="0" xfId="45" applyNumberFormat="1" applyFont="1" applyFill="1" applyAlignment="1">
      <alignment/>
    </xf>
    <xf numFmtId="164" fontId="0" fillId="33" borderId="15" xfId="0" applyNumberFormat="1" applyFill="1" applyBorder="1" applyAlignment="1">
      <alignment/>
    </xf>
    <xf numFmtId="166" fontId="0" fillId="33" borderId="0" xfId="45" applyNumberFormat="1" applyFont="1" applyFill="1" applyAlignment="1">
      <alignment/>
    </xf>
    <xf numFmtId="166" fontId="57" fillId="0" borderId="0" xfId="45" applyNumberFormat="1" applyFont="1" applyBorder="1" applyAlignment="1">
      <alignment horizontal="right"/>
    </xf>
    <xf numFmtId="0" fontId="74" fillId="0" borderId="0" xfId="0" applyFont="1" applyAlignment="1">
      <alignment horizontal="center"/>
    </xf>
    <xf numFmtId="0" fontId="0" fillId="0" borderId="0" xfId="0" applyFont="1" applyAlignment="1">
      <alignment horizontal="left" wrapText="1" readingOrder="1"/>
    </xf>
    <xf numFmtId="0" fontId="4" fillId="0" borderId="0" xfId="0" applyFont="1" applyAlignment="1">
      <alignment horizontal="left" wrapText="1" readingOrder="1"/>
    </xf>
    <xf numFmtId="0" fontId="6" fillId="0" borderId="0" xfId="0" applyFont="1" applyAlignment="1">
      <alignment horizontal="right" readingOrder="1"/>
    </xf>
    <xf numFmtId="165" fontId="67" fillId="0" borderId="0" xfId="0" applyNumberFormat="1" applyFont="1" applyAlignment="1">
      <alignment horizontal="right"/>
    </xf>
    <xf numFmtId="165" fontId="70" fillId="0" borderId="0" xfId="0" applyNumberFormat="1" applyFont="1" applyAlignment="1">
      <alignment horizontal="right"/>
    </xf>
    <xf numFmtId="0" fontId="60" fillId="0" borderId="16" xfId="0" applyFont="1" applyBorder="1" applyAlignment="1">
      <alignment horizontal="left"/>
    </xf>
    <xf numFmtId="0" fontId="65" fillId="0" borderId="17" xfId="0" applyFont="1" applyBorder="1" applyAlignment="1">
      <alignment horizontal="center"/>
    </xf>
    <xf numFmtId="166" fontId="57" fillId="0" borderId="0" xfId="45" applyNumberFormat="1" applyFont="1" applyBorder="1" applyAlignment="1">
      <alignment horizontal="right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wrapText="1" readingOrder="1"/>
    </xf>
    <xf numFmtId="49" fontId="60" fillId="0" borderId="17" xfId="42" applyNumberFormat="1" applyFont="1" applyBorder="1" applyAlignment="1">
      <alignment horizontal="center"/>
    </xf>
    <xf numFmtId="0" fontId="60" fillId="0" borderId="17" xfId="42" applyNumberFormat="1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166" fontId="57" fillId="0" borderId="0" xfId="45" applyNumberFormat="1" applyFont="1" applyBorder="1" applyAlignment="1">
      <alignment horizontal="center"/>
    </xf>
    <xf numFmtId="165" fontId="67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wrapText="1" readingOrder="1"/>
    </xf>
    <xf numFmtId="0" fontId="65" fillId="0" borderId="17" xfId="0" applyFont="1" applyBorder="1" applyAlignment="1">
      <alignment horizontal="center" wrapText="1"/>
    </xf>
    <xf numFmtId="166" fontId="57" fillId="0" borderId="0" xfId="45" applyNumberFormat="1" applyFont="1" applyAlignment="1">
      <alignment horizontal="right"/>
    </xf>
    <xf numFmtId="166" fontId="57" fillId="0" borderId="0" xfId="45" applyNumberFormat="1" applyFont="1" applyAlignment="1">
      <alignment horizontal="center"/>
    </xf>
    <xf numFmtId="0" fontId="75" fillId="0" borderId="16" xfId="0" applyFont="1" applyBorder="1" applyAlignment="1">
      <alignment horizontal="center"/>
    </xf>
    <xf numFmtId="0" fontId="7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l-server3\dal_data1\85180\0401\SS99\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40.00390625" style="0" customWidth="1"/>
    <col min="2" max="2" width="15.00390625" style="0" bestFit="1" customWidth="1"/>
    <col min="3" max="3" width="16.421875" style="0" bestFit="1" customWidth="1"/>
    <col min="4" max="4" width="17.140625" style="0" bestFit="1" customWidth="1"/>
    <col min="5" max="5" width="16.421875" style="0" bestFit="1" customWidth="1"/>
    <col min="6" max="6" width="1.7109375" style="0" customWidth="1"/>
    <col min="7" max="7" width="18.8515625" style="0" bestFit="1" customWidth="1"/>
    <col min="8" max="8" width="14.7109375" style="38" bestFit="1" customWidth="1"/>
    <col min="9" max="9" width="15.7109375" style="0" bestFit="1" customWidth="1"/>
    <col min="10" max="10" width="12.7109375" style="0" bestFit="1" customWidth="1"/>
    <col min="12" max="12" width="1.7109375" style="0" customWidth="1"/>
  </cols>
  <sheetData>
    <row r="1" spans="1:8" ht="18.75">
      <c r="A1" s="129" t="s">
        <v>48</v>
      </c>
      <c r="B1" s="129"/>
      <c r="C1" s="129"/>
      <c r="D1" s="129"/>
      <c r="E1" s="129"/>
      <c r="F1" s="129"/>
      <c r="G1" s="129"/>
      <c r="H1" s="129"/>
    </row>
    <row r="2" spans="6:8" ht="18.75">
      <c r="F2" s="79"/>
      <c r="G2" s="76"/>
      <c r="H2" s="111" t="s">
        <v>46</v>
      </c>
    </row>
    <row r="3" spans="6:9" ht="14.25" customHeight="1">
      <c r="F3" s="110"/>
      <c r="G3" s="74"/>
      <c r="H3" s="138" t="s">
        <v>54</v>
      </c>
      <c r="I3" s="138"/>
    </row>
    <row r="4" spans="1:12" ht="32.25">
      <c r="A4" s="28" t="s">
        <v>13</v>
      </c>
      <c r="B4" s="30"/>
      <c r="C4" s="29" t="s">
        <v>7</v>
      </c>
      <c r="D4" s="29" t="s">
        <v>8</v>
      </c>
      <c r="E4" s="29" t="s">
        <v>9</v>
      </c>
      <c r="F4" s="107"/>
      <c r="G4" s="43" t="s">
        <v>58</v>
      </c>
      <c r="I4" s="23"/>
      <c r="L4" s="23"/>
    </row>
    <row r="5" spans="1:7" ht="15">
      <c r="A5" s="133">
        <v>42551</v>
      </c>
      <c r="B5" s="133"/>
      <c r="C5" s="9">
        <v>45356214752</v>
      </c>
      <c r="D5" s="9">
        <v>23996362354</v>
      </c>
      <c r="E5" s="9">
        <v>21359852398</v>
      </c>
      <c r="F5" s="9"/>
      <c r="G5" s="41">
        <f>E5*G3</f>
        <v>0</v>
      </c>
    </row>
    <row r="6" spans="1:7" ht="15">
      <c r="A6" s="133">
        <v>42916</v>
      </c>
      <c r="B6" s="133"/>
      <c r="C6" s="1">
        <v>48244437494</v>
      </c>
      <c r="D6" s="1">
        <v>25732829268</v>
      </c>
      <c r="E6" s="1">
        <f>C6-D6</f>
        <v>22511608226</v>
      </c>
      <c r="F6" s="1"/>
      <c r="G6" s="41">
        <f>G3*E6</f>
        <v>0</v>
      </c>
    </row>
    <row r="7" spans="1:7" ht="15.75" thickBot="1">
      <c r="A7" s="134" t="s">
        <v>62</v>
      </c>
      <c r="B7" s="134"/>
      <c r="C7" s="10">
        <f>C6-C5</f>
        <v>2888222742</v>
      </c>
      <c r="D7" s="10">
        <f>D6-D5</f>
        <v>1736466914</v>
      </c>
      <c r="E7" s="10">
        <f>E6-E5</f>
        <v>1151755828</v>
      </c>
      <c r="F7" s="20"/>
      <c r="G7" s="10">
        <f>G6-G5</f>
        <v>0</v>
      </c>
    </row>
    <row r="8" ht="15.75" thickTop="1">
      <c r="G8" s="38"/>
    </row>
    <row r="9" spans="1:7" ht="15.75">
      <c r="A9" s="26" t="s">
        <v>32</v>
      </c>
      <c r="B9" s="8"/>
      <c r="C9" s="11"/>
      <c r="E9" s="27" t="s">
        <v>6</v>
      </c>
      <c r="F9" s="108"/>
      <c r="G9" s="38"/>
    </row>
    <row r="10" spans="1:7" ht="15">
      <c r="A10" s="24" t="s">
        <v>27</v>
      </c>
      <c r="B10" s="2"/>
      <c r="C10" s="2"/>
      <c r="E10" s="5"/>
      <c r="F10" s="5"/>
      <c r="G10" s="38"/>
    </row>
    <row r="11" spans="1:7" ht="15">
      <c r="A11" s="3" t="s">
        <v>0</v>
      </c>
      <c r="B11" s="3"/>
      <c r="C11" s="3"/>
      <c r="E11" s="7">
        <v>804056809</v>
      </c>
      <c r="F11" s="7"/>
      <c r="G11" s="42">
        <f aca="true" t="shared" si="0" ref="G11:G19">$G$3*E11</f>
        <v>0</v>
      </c>
    </row>
    <row r="12" spans="1:7" ht="15">
      <c r="A12" s="3" t="s">
        <v>1</v>
      </c>
      <c r="B12" s="3"/>
      <c r="C12" s="3"/>
      <c r="E12" s="7">
        <v>3318051295</v>
      </c>
      <c r="F12" s="7"/>
      <c r="G12" s="42">
        <f t="shared" si="0"/>
        <v>0</v>
      </c>
    </row>
    <row r="13" spans="1:7" ht="15">
      <c r="A13" s="3" t="s">
        <v>2</v>
      </c>
      <c r="B13" s="3"/>
      <c r="C13" s="3"/>
      <c r="E13" s="7">
        <v>0</v>
      </c>
      <c r="F13" s="7"/>
      <c r="G13" s="42">
        <f t="shared" si="0"/>
        <v>0</v>
      </c>
    </row>
    <row r="14" spans="1:7" ht="15">
      <c r="A14" s="3" t="s">
        <v>3</v>
      </c>
      <c r="B14" s="3"/>
      <c r="C14" s="3"/>
      <c r="E14" s="7">
        <v>13469609</v>
      </c>
      <c r="F14" s="7"/>
      <c r="G14" s="42">
        <f t="shared" si="0"/>
        <v>0</v>
      </c>
    </row>
    <row r="15" spans="1:7" ht="15">
      <c r="A15" s="3" t="s">
        <v>4</v>
      </c>
      <c r="B15" s="3"/>
      <c r="C15" s="3"/>
      <c r="E15" s="7">
        <v>-826542566</v>
      </c>
      <c r="F15" s="7"/>
      <c r="G15" s="42">
        <f t="shared" si="0"/>
        <v>0</v>
      </c>
    </row>
    <row r="16" spans="1:7" ht="15">
      <c r="A16" s="3" t="s">
        <v>5</v>
      </c>
      <c r="B16" s="3"/>
      <c r="C16" s="3"/>
      <c r="E16" s="7">
        <v>-1760174122</v>
      </c>
      <c r="F16" s="7"/>
      <c r="G16" s="42">
        <f t="shared" si="0"/>
        <v>0</v>
      </c>
    </row>
    <row r="17" spans="1:7" ht="25.5" customHeight="1">
      <c r="A17" s="131" t="s">
        <v>100</v>
      </c>
      <c r="B17" s="131"/>
      <c r="C17" s="131"/>
      <c r="D17" s="131"/>
      <c r="E17" s="7">
        <v>593763852</v>
      </c>
      <c r="F17" s="7"/>
      <c r="G17" s="42">
        <f t="shared" si="0"/>
        <v>0</v>
      </c>
    </row>
    <row r="18" spans="1:7" ht="27" customHeight="1">
      <c r="A18" s="131" t="s">
        <v>23</v>
      </c>
      <c r="B18" s="131"/>
      <c r="C18" s="131"/>
      <c r="D18" s="131"/>
      <c r="E18" s="14">
        <v>137590564</v>
      </c>
      <c r="F18" s="14"/>
      <c r="G18" s="42">
        <f t="shared" si="0"/>
        <v>0</v>
      </c>
    </row>
    <row r="19" spans="1:7" ht="15">
      <c r="A19" s="4" t="s">
        <v>10</v>
      </c>
      <c r="B19" s="4"/>
      <c r="C19" s="4"/>
      <c r="E19" s="14">
        <v>1549772</v>
      </c>
      <c r="F19" s="14"/>
      <c r="G19" s="103">
        <f t="shared" si="0"/>
        <v>0</v>
      </c>
    </row>
    <row r="20" spans="1:12" ht="15">
      <c r="A20" s="132" t="s">
        <v>12</v>
      </c>
      <c r="B20" s="132"/>
      <c r="C20" s="132"/>
      <c r="D20" s="132"/>
      <c r="E20" s="15">
        <f>SUM(E10:E19)</f>
        <v>2281765213</v>
      </c>
      <c r="F20" s="14"/>
      <c r="G20" s="42">
        <f>SUM(G11:G19)</f>
        <v>0</v>
      </c>
      <c r="I20" s="36"/>
      <c r="L20" s="36"/>
    </row>
    <row r="21" spans="1:7" ht="6" customHeight="1">
      <c r="A21" s="2"/>
      <c r="B21" s="3"/>
      <c r="C21" s="3"/>
      <c r="E21" s="14"/>
      <c r="F21" s="14"/>
      <c r="G21" s="42"/>
    </row>
    <row r="22" spans="1:7" ht="15">
      <c r="A22" s="139" t="s">
        <v>63</v>
      </c>
      <c r="B22" s="139"/>
      <c r="C22" s="139"/>
      <c r="E22" s="7">
        <v>-1168847156</v>
      </c>
      <c r="F22" s="7"/>
      <c r="G22" s="42">
        <f>$G$3*E22</f>
        <v>0</v>
      </c>
    </row>
    <row r="23" spans="1:7" ht="6" customHeight="1">
      <c r="A23" s="3"/>
      <c r="B23" s="3"/>
      <c r="C23" s="3"/>
      <c r="E23" s="14"/>
      <c r="F23" s="14"/>
      <c r="G23" s="42"/>
    </row>
    <row r="24" spans="1:7" ht="15">
      <c r="A24" s="25" t="s">
        <v>26</v>
      </c>
      <c r="B24" s="21"/>
      <c r="C24" s="21"/>
      <c r="E24" s="16"/>
      <c r="F24" s="16"/>
      <c r="G24" s="42"/>
    </row>
    <row r="25" spans="1:7" ht="15">
      <c r="A25" s="21" t="s">
        <v>21</v>
      </c>
      <c r="B25" s="21"/>
      <c r="C25" s="21"/>
      <c r="E25" s="16"/>
      <c r="F25" s="16"/>
      <c r="G25" s="42"/>
    </row>
    <row r="26" spans="1:7" ht="15">
      <c r="A26" s="130" t="s">
        <v>74</v>
      </c>
      <c r="B26" s="130"/>
      <c r="C26" s="130"/>
      <c r="E26" s="7">
        <v>54584031</v>
      </c>
      <c r="F26" s="7"/>
      <c r="G26" s="42">
        <f>$G$3*E26</f>
        <v>0</v>
      </c>
    </row>
    <row r="27" spans="1:7" ht="15">
      <c r="A27" s="131" t="s">
        <v>64</v>
      </c>
      <c r="B27" s="131"/>
      <c r="C27" s="131"/>
      <c r="E27" s="7">
        <f>B52</f>
        <v>-150896506</v>
      </c>
      <c r="F27" s="7"/>
      <c r="G27" s="42">
        <f>$G$3*E27</f>
        <v>0</v>
      </c>
    </row>
    <row r="28" spans="1:7" ht="15">
      <c r="A28" s="131" t="s">
        <v>65</v>
      </c>
      <c r="B28" s="131"/>
      <c r="C28" s="131"/>
      <c r="E28" s="7">
        <f>C52</f>
        <v>10719442</v>
      </c>
      <c r="F28" s="7"/>
      <c r="G28" s="42">
        <f>$G$3*E28</f>
        <v>0</v>
      </c>
    </row>
    <row r="29" spans="1:10" ht="15">
      <c r="A29" s="131" t="s">
        <v>66</v>
      </c>
      <c r="B29" s="131"/>
      <c r="C29" s="131"/>
      <c r="E29" s="7">
        <f>D52</f>
        <v>-11349347</v>
      </c>
      <c r="F29" s="7"/>
      <c r="G29" s="42">
        <f>$G$3*E29</f>
        <v>0</v>
      </c>
      <c r="J29" s="59"/>
    </row>
    <row r="30" spans="1:10" ht="15">
      <c r="A30" s="130" t="s">
        <v>75</v>
      </c>
      <c r="B30" s="130"/>
      <c r="C30" s="130"/>
      <c r="E30" s="115">
        <f>E52</f>
        <v>-13401431.622882394</v>
      </c>
      <c r="F30" s="7"/>
      <c r="G30" s="42">
        <f>$G$3*E30</f>
        <v>0</v>
      </c>
      <c r="J30" s="59"/>
    </row>
    <row r="31" spans="1:7" ht="15">
      <c r="A31" s="21" t="s">
        <v>22</v>
      </c>
      <c r="B31" s="18"/>
      <c r="C31" s="18"/>
      <c r="E31" s="7"/>
      <c r="F31" s="7"/>
      <c r="G31" s="42"/>
    </row>
    <row r="32" spans="1:7" ht="15">
      <c r="A32" s="130" t="s">
        <v>78</v>
      </c>
      <c r="B32" s="130"/>
      <c r="C32" s="130"/>
      <c r="E32" s="7">
        <v>-1031040909</v>
      </c>
      <c r="F32" s="7"/>
      <c r="G32" s="42">
        <f>$G$3*E32</f>
        <v>0</v>
      </c>
    </row>
    <row r="33" spans="1:7" ht="15">
      <c r="A33" s="131" t="s">
        <v>67</v>
      </c>
      <c r="B33" s="131"/>
      <c r="C33" s="131"/>
      <c r="E33" s="7">
        <f>B72</f>
        <v>362873017</v>
      </c>
      <c r="F33" s="7"/>
      <c r="G33" s="42">
        <f>$G$3*E33</f>
        <v>0</v>
      </c>
    </row>
    <row r="34" spans="1:7" ht="15">
      <c r="A34" s="131" t="s">
        <v>68</v>
      </c>
      <c r="B34" s="131"/>
      <c r="C34" s="131"/>
      <c r="E34" s="7">
        <f>C72</f>
        <v>-303891120</v>
      </c>
      <c r="F34" s="7"/>
      <c r="G34" s="42">
        <f>$G$3*E34</f>
        <v>0</v>
      </c>
    </row>
    <row r="35" spans="1:7" ht="15">
      <c r="A35" s="131" t="s">
        <v>69</v>
      </c>
      <c r="B35" s="131"/>
      <c r="C35" s="131"/>
      <c r="E35" s="7">
        <f>D72</f>
        <v>-402780643.4</v>
      </c>
      <c r="F35" s="7"/>
      <c r="G35" s="42">
        <f>$G$3*E35</f>
        <v>0</v>
      </c>
    </row>
    <row r="36" spans="1:7" ht="15">
      <c r="A36" s="130" t="s">
        <v>77</v>
      </c>
      <c r="B36" s="130"/>
      <c r="C36" s="130"/>
      <c r="E36" s="115">
        <f>E72</f>
        <v>206208181.8</v>
      </c>
      <c r="F36" s="7"/>
      <c r="G36" s="42">
        <f>$G$3*E36</f>
        <v>0</v>
      </c>
    </row>
    <row r="37" spans="1:8" ht="15">
      <c r="A37" s="21" t="s">
        <v>76</v>
      </c>
      <c r="B37" s="112"/>
      <c r="C37" s="112"/>
      <c r="E37" s="7"/>
      <c r="F37" s="7"/>
      <c r="G37" s="42"/>
      <c r="H37" s="39"/>
    </row>
    <row r="38" spans="1:8" ht="15">
      <c r="A38" s="130" t="s">
        <v>74</v>
      </c>
      <c r="B38" s="130"/>
      <c r="C38" s="130"/>
      <c r="E38" s="7">
        <v>1746649065</v>
      </c>
      <c r="F38" s="7"/>
      <c r="G38" s="42">
        <f>$G$3*E38</f>
        <v>0</v>
      </c>
      <c r="H38" s="39"/>
    </row>
    <row r="39" spans="1:8" ht="15">
      <c r="A39" s="130" t="s">
        <v>75</v>
      </c>
      <c r="B39" s="130"/>
      <c r="C39" s="130"/>
      <c r="E39" s="115">
        <f>E91</f>
        <v>-428836009.0842131</v>
      </c>
      <c r="F39" s="7"/>
      <c r="G39" s="42">
        <f>$G$3*E39</f>
        <v>0</v>
      </c>
      <c r="H39" s="39"/>
    </row>
    <row r="40" spans="1:8" ht="15">
      <c r="A40" s="112"/>
      <c r="B40" s="112"/>
      <c r="C40" s="112"/>
      <c r="E40" s="7"/>
      <c r="F40" s="7"/>
      <c r="G40" s="42"/>
      <c r="H40" s="39"/>
    </row>
    <row r="41" spans="1:12" ht="15.75" thickBot="1">
      <c r="A41" s="132" t="s">
        <v>11</v>
      </c>
      <c r="B41" s="132"/>
      <c r="C41" s="132"/>
      <c r="D41" s="132"/>
      <c r="E41" s="17">
        <f>E20+E22+E26+E28+E27+E29+E32+E34+E33+E35+E38+E39+E30+E36</f>
        <v>1151755827.6929045</v>
      </c>
      <c r="F41" s="14"/>
      <c r="G41" s="17">
        <f>G20+G22+G26+G28+G27+G29+G32+G34+G33+G35+G38+G39+G30+G36</f>
        <v>0</v>
      </c>
      <c r="I41" s="36"/>
      <c r="L41" s="36"/>
    </row>
    <row r="42" spans="1:12" ht="24.75" customHeight="1" thickTop="1">
      <c r="A42" s="132" t="s">
        <v>70</v>
      </c>
      <c r="B42" s="132"/>
      <c r="C42" s="132"/>
      <c r="D42" s="132"/>
      <c r="E42" s="77">
        <f>E7-E41</f>
        <v>0.3070955276489258</v>
      </c>
      <c r="F42" s="77"/>
      <c r="G42" s="41">
        <f>G7-G41</f>
        <v>0</v>
      </c>
      <c r="I42" s="44"/>
      <c r="L42" s="36"/>
    </row>
    <row r="43" spans="1:12" ht="30" customHeight="1">
      <c r="A43" s="142" t="s">
        <v>33</v>
      </c>
      <c r="B43" s="142"/>
      <c r="C43" s="142"/>
      <c r="D43" s="142"/>
      <c r="E43" s="142"/>
      <c r="F43" s="142"/>
      <c r="G43" s="142"/>
      <c r="H43" s="142"/>
      <c r="I43" s="142"/>
      <c r="K43" s="19"/>
      <c r="L43" s="56"/>
    </row>
    <row r="44" spans="1:11" ht="21" customHeight="1" thickBot="1">
      <c r="A44" s="135" t="s">
        <v>56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9"/>
    </row>
    <row r="45" spans="2:11" ht="15.75" customHeight="1" thickBot="1">
      <c r="B45" s="136" t="s">
        <v>53</v>
      </c>
      <c r="C45" s="136"/>
      <c r="D45" s="136"/>
      <c r="E45" s="136"/>
      <c r="F45" s="105"/>
      <c r="G45" s="140">
        <f>$G$2</f>
        <v>0</v>
      </c>
      <c r="H45" s="141"/>
      <c r="I45" s="141"/>
      <c r="J45" s="141"/>
      <c r="K45" s="19"/>
    </row>
    <row r="46" spans="2:12" ht="15">
      <c r="B46" s="31" t="s">
        <v>50</v>
      </c>
      <c r="C46" s="31" t="s">
        <v>51</v>
      </c>
      <c r="D46" s="31" t="s">
        <v>52</v>
      </c>
      <c r="E46" s="31" t="s">
        <v>73</v>
      </c>
      <c r="F46" s="31"/>
      <c r="G46" s="31" t="s">
        <v>50</v>
      </c>
      <c r="H46" s="31" t="s">
        <v>51</v>
      </c>
      <c r="I46" s="31" t="s">
        <v>52</v>
      </c>
      <c r="J46" s="31" t="s">
        <v>73</v>
      </c>
      <c r="K46" s="19"/>
      <c r="L46" s="5"/>
    </row>
    <row r="47" spans="1:12" ht="15">
      <c r="A47" t="s">
        <v>49</v>
      </c>
      <c r="B47" s="61">
        <v>638744910.1325912</v>
      </c>
      <c r="C47" s="62">
        <v>-44635755</v>
      </c>
      <c r="D47" s="62">
        <v>46713913</v>
      </c>
      <c r="E47" s="62">
        <v>54584031</v>
      </c>
      <c r="F47" s="62"/>
      <c r="G47" s="63">
        <f>B47*G3</f>
        <v>0</v>
      </c>
      <c r="H47" s="64">
        <f>C47*G3</f>
        <v>0</v>
      </c>
      <c r="I47" s="63">
        <f>D47*G3</f>
        <v>0</v>
      </c>
      <c r="J47" s="63">
        <f>E47*G3</f>
        <v>0</v>
      </c>
      <c r="K47" s="19"/>
      <c r="L47" s="5"/>
    </row>
    <row r="48" spans="1:12" ht="18" customHeight="1">
      <c r="A48" s="78" t="s">
        <v>24</v>
      </c>
      <c r="B48" s="33">
        <v>4.233</v>
      </c>
      <c r="C48" s="33">
        <v>4.164</v>
      </c>
      <c r="D48" s="33">
        <v>4.116</v>
      </c>
      <c r="E48" s="33">
        <v>4.073</v>
      </c>
      <c r="F48" s="33"/>
      <c r="G48" s="33">
        <v>4.233</v>
      </c>
      <c r="H48" s="33">
        <v>4.164</v>
      </c>
      <c r="I48" s="33">
        <v>4.116</v>
      </c>
      <c r="J48" s="33">
        <v>4.073</v>
      </c>
      <c r="L48" s="32"/>
    </row>
    <row r="49" spans="1:7" ht="15">
      <c r="A49" s="13" t="s">
        <v>15</v>
      </c>
      <c r="B49" s="20">
        <v>-150896506</v>
      </c>
      <c r="C49" s="13"/>
      <c r="G49" s="20">
        <f aca="true" t="shared" si="1" ref="G49:G58">B49*$G$3</f>
        <v>0</v>
      </c>
    </row>
    <row r="50" spans="1:8" ht="15">
      <c r="A50" s="13" t="s">
        <v>16</v>
      </c>
      <c r="B50" s="1">
        <v>-150896506</v>
      </c>
      <c r="C50" s="20">
        <v>10719442</v>
      </c>
      <c r="G50" s="82">
        <f t="shared" si="1"/>
        <v>0</v>
      </c>
      <c r="H50" s="20">
        <f aca="true" t="shared" si="2" ref="H50:H58">C50*$G$3</f>
        <v>0</v>
      </c>
    </row>
    <row r="51" spans="1:10" ht="15">
      <c r="A51" s="13" t="s">
        <v>17</v>
      </c>
      <c r="B51" s="1">
        <v>-150896506</v>
      </c>
      <c r="C51" s="1">
        <v>10719442</v>
      </c>
      <c r="D51" s="9">
        <v>-11349347</v>
      </c>
      <c r="E51" s="106"/>
      <c r="F51" s="106"/>
      <c r="G51" s="82">
        <f t="shared" si="1"/>
        <v>0</v>
      </c>
      <c r="H51" s="82">
        <f t="shared" si="2"/>
        <v>0</v>
      </c>
      <c r="I51" s="20">
        <f aca="true" t="shared" si="3" ref="I51:I58">D51*$G$3</f>
        <v>0</v>
      </c>
      <c r="J51" s="20"/>
    </row>
    <row r="52" spans="1:10" ht="15">
      <c r="A52" s="13" t="s">
        <v>18</v>
      </c>
      <c r="B52" s="1">
        <v>-150896506</v>
      </c>
      <c r="C52" s="1">
        <v>10719442</v>
      </c>
      <c r="D52" s="1">
        <v>-11349347</v>
      </c>
      <c r="E52" s="9">
        <f>-(E47/E48)</f>
        <v>-13401431.622882394</v>
      </c>
      <c r="F52" s="106"/>
      <c r="G52" s="82">
        <f t="shared" si="1"/>
        <v>0</v>
      </c>
      <c r="H52" s="82">
        <f t="shared" si="2"/>
        <v>0</v>
      </c>
      <c r="I52" s="82">
        <f t="shared" si="3"/>
        <v>0</v>
      </c>
      <c r="J52" s="82">
        <f>E52*$G$3</f>
        <v>0</v>
      </c>
    </row>
    <row r="53" spans="1:10" ht="15">
      <c r="A53" s="13" t="s">
        <v>19</v>
      </c>
      <c r="B53" s="12">
        <v>-35158886</v>
      </c>
      <c r="C53" s="1">
        <v>10719442</v>
      </c>
      <c r="D53" s="1">
        <v>-11349347</v>
      </c>
      <c r="E53" s="1">
        <v>-13401432</v>
      </c>
      <c r="F53" s="106"/>
      <c r="G53" s="82">
        <f t="shared" si="1"/>
        <v>0</v>
      </c>
      <c r="H53" s="82">
        <f t="shared" si="2"/>
        <v>0</v>
      </c>
      <c r="I53" s="82">
        <f t="shared" si="3"/>
        <v>0</v>
      </c>
      <c r="J53" s="82">
        <f>E53*$G$3</f>
        <v>0</v>
      </c>
    </row>
    <row r="54" spans="1:10" ht="15">
      <c r="A54" s="13" t="s">
        <v>20</v>
      </c>
      <c r="B54" s="12">
        <v>0</v>
      </c>
      <c r="C54" s="12">
        <v>1757987</v>
      </c>
      <c r="D54" s="12">
        <v>-11349347.181729836</v>
      </c>
      <c r="E54" s="1">
        <v>-13401432</v>
      </c>
      <c r="F54" s="106"/>
      <c r="G54" s="35">
        <f t="shared" si="1"/>
        <v>0</v>
      </c>
      <c r="H54" s="82">
        <f t="shared" si="2"/>
        <v>0</v>
      </c>
      <c r="I54" s="82">
        <f t="shared" si="3"/>
        <v>0</v>
      </c>
      <c r="J54" s="82">
        <f>E54*$G$3</f>
        <v>0</v>
      </c>
    </row>
    <row r="55" spans="1:10" ht="15">
      <c r="A55" s="13" t="s">
        <v>30</v>
      </c>
      <c r="B55" s="12">
        <v>0</v>
      </c>
      <c r="C55" s="12">
        <v>0</v>
      </c>
      <c r="D55" s="12">
        <v>-1316525.2730806544</v>
      </c>
      <c r="E55" s="1">
        <v>-13401432</v>
      </c>
      <c r="F55" s="106"/>
      <c r="G55" s="35">
        <f t="shared" si="1"/>
        <v>0</v>
      </c>
      <c r="H55" s="35">
        <f t="shared" si="2"/>
        <v>0</v>
      </c>
      <c r="I55" s="82">
        <f t="shared" si="3"/>
        <v>0</v>
      </c>
      <c r="J55" s="82">
        <f>E55*$G$3</f>
        <v>0</v>
      </c>
    </row>
    <row r="56" spans="1:10" ht="15">
      <c r="A56" s="13" t="s">
        <v>55</v>
      </c>
      <c r="B56" s="12">
        <v>0</v>
      </c>
      <c r="C56" s="12">
        <v>0</v>
      </c>
      <c r="D56" s="12">
        <v>0</v>
      </c>
      <c r="E56" s="116">
        <f>-(E47+SUM(E52:E55))</f>
        <v>-978303.377117604</v>
      </c>
      <c r="F56" s="106"/>
      <c r="G56" s="35">
        <f t="shared" si="1"/>
        <v>0</v>
      </c>
      <c r="H56" s="35">
        <f t="shared" si="2"/>
        <v>0</v>
      </c>
      <c r="I56" s="35">
        <f t="shared" si="3"/>
        <v>0</v>
      </c>
      <c r="J56" s="35">
        <f>E56*$G$3</f>
        <v>0</v>
      </c>
    </row>
    <row r="57" spans="1:10" ht="15">
      <c r="A57" s="13" t="s">
        <v>72</v>
      </c>
      <c r="B57" s="12">
        <v>0</v>
      </c>
      <c r="C57" s="12">
        <v>0</v>
      </c>
      <c r="D57" s="12">
        <v>0</v>
      </c>
      <c r="E57" s="106">
        <v>0</v>
      </c>
      <c r="F57" s="106"/>
      <c r="G57" s="35">
        <f t="shared" si="1"/>
        <v>0</v>
      </c>
      <c r="H57" s="35">
        <f t="shared" si="2"/>
        <v>0</v>
      </c>
      <c r="I57" s="35">
        <f t="shared" si="3"/>
        <v>0</v>
      </c>
      <c r="J57" s="35">
        <v>0</v>
      </c>
    </row>
    <row r="58" spans="1:10" ht="15">
      <c r="A58" s="13" t="s">
        <v>31</v>
      </c>
      <c r="B58" s="12">
        <v>0</v>
      </c>
      <c r="C58" s="12">
        <v>0</v>
      </c>
      <c r="D58" s="12">
        <v>0</v>
      </c>
      <c r="E58" s="12">
        <v>0</v>
      </c>
      <c r="F58" s="12"/>
      <c r="G58" s="35">
        <f t="shared" si="1"/>
        <v>0</v>
      </c>
      <c r="H58" s="35">
        <f t="shared" si="2"/>
        <v>0</v>
      </c>
      <c r="I58" s="35">
        <f t="shared" si="3"/>
        <v>0</v>
      </c>
      <c r="J58" s="35">
        <f>E58*$G$3</f>
        <v>0</v>
      </c>
    </row>
    <row r="59" spans="2:8" ht="6" customHeight="1">
      <c r="B59" s="58"/>
      <c r="C59" s="58"/>
      <c r="D59" s="12"/>
      <c r="E59" s="12"/>
      <c r="F59" s="12"/>
      <c r="G59" s="12"/>
      <c r="H59" s="12"/>
    </row>
    <row r="60" spans="1:10" ht="15">
      <c r="A60" s="60" t="s">
        <v>71</v>
      </c>
      <c r="B60" s="65">
        <f>SUM(B53:B58)</f>
        <v>-35158886</v>
      </c>
      <c r="C60" s="65">
        <f>SUM(C53:C58)</f>
        <v>12477429</v>
      </c>
      <c r="D60" s="65">
        <f>SUM(D53:D58)</f>
        <v>-24015219.454810493</v>
      </c>
      <c r="E60" s="65">
        <f>SUM(E53:E58)</f>
        <v>-41182599.377117604</v>
      </c>
      <c r="F60" s="66"/>
      <c r="G60" s="65">
        <f>SUM(G52:G58)</f>
        <v>0</v>
      </c>
      <c r="H60" s="65">
        <f>SUM(H52:H58)</f>
        <v>0</v>
      </c>
      <c r="I60" s="65">
        <f>SUM(I52:I58)</f>
        <v>0</v>
      </c>
      <c r="J60" s="65">
        <f>SUM(J52:J58)</f>
        <v>0</v>
      </c>
    </row>
    <row r="61" spans="1:10" ht="5.25" customHeight="1">
      <c r="A61" s="60"/>
      <c r="B61" s="65"/>
      <c r="C61" s="66"/>
      <c r="D61" s="66"/>
      <c r="E61" s="66"/>
      <c r="F61" s="66"/>
      <c r="G61" s="65"/>
      <c r="H61" s="65"/>
      <c r="I61" s="65"/>
      <c r="J61" s="65"/>
    </row>
    <row r="62" spans="1:10" ht="15">
      <c r="A62" s="60"/>
      <c r="B62" s="65"/>
      <c r="D62" s="93" t="s">
        <v>59</v>
      </c>
      <c r="E62" s="66">
        <f>SUM(B47,B49,E47,B50,B51,D47,D51,B52,D52,E52)</f>
        <v>100356704.50970885</v>
      </c>
      <c r="F62" s="66"/>
      <c r="I62" s="93" t="s">
        <v>59</v>
      </c>
      <c r="J62" s="66">
        <f>SUM(G47,G49,J47,G50,G51,I47,I51,G52,I52,J52)</f>
        <v>0</v>
      </c>
    </row>
    <row r="63" spans="4:10" ht="15">
      <c r="D63" s="93" t="s">
        <v>60</v>
      </c>
      <c r="E63" s="66">
        <f>SUM(C47,C50,C51,C52)</f>
        <v>-12477429</v>
      </c>
      <c r="I63" s="93" t="s">
        <v>60</v>
      </c>
      <c r="J63" s="95">
        <f>SUM(H47,H50,H51,H52)</f>
        <v>0</v>
      </c>
    </row>
    <row r="64" spans="1:10" ht="21" customHeight="1" thickBot="1">
      <c r="A64" s="135" t="s">
        <v>57</v>
      </c>
      <c r="B64" s="135"/>
      <c r="C64" s="135"/>
      <c r="D64" s="135"/>
      <c r="E64" s="135"/>
      <c r="F64" s="135"/>
      <c r="G64" s="135"/>
      <c r="H64" s="135"/>
      <c r="I64" s="135"/>
      <c r="J64" s="135"/>
    </row>
    <row r="65" spans="1:10" ht="15.75" customHeight="1" thickBot="1">
      <c r="A65" s="119"/>
      <c r="B65" s="136" t="s">
        <v>53</v>
      </c>
      <c r="C65" s="136"/>
      <c r="D65" s="136"/>
      <c r="E65" s="136"/>
      <c r="F65" s="104"/>
      <c r="G65" s="140">
        <f>$G$2</f>
        <v>0</v>
      </c>
      <c r="H65" s="141"/>
      <c r="I65" s="141"/>
      <c r="J65" s="141"/>
    </row>
    <row r="66" spans="2:12" ht="15">
      <c r="B66" s="31" t="s">
        <v>50</v>
      </c>
      <c r="C66" s="31" t="s">
        <v>51</v>
      </c>
      <c r="D66" s="31" t="s">
        <v>52</v>
      </c>
      <c r="E66" s="81" t="s">
        <v>73</v>
      </c>
      <c r="F66" s="81"/>
      <c r="G66" s="31" t="s">
        <v>50</v>
      </c>
      <c r="H66" s="31" t="s">
        <v>51</v>
      </c>
      <c r="I66" s="31" t="s">
        <v>52</v>
      </c>
      <c r="J66" s="31" t="s">
        <v>73</v>
      </c>
      <c r="L66" s="5"/>
    </row>
    <row r="67" spans="1:12" ht="15">
      <c r="A67" t="s">
        <v>49</v>
      </c>
      <c r="B67" s="63">
        <v>-1814365085</v>
      </c>
      <c r="C67" s="63">
        <v>1519455598</v>
      </c>
      <c r="D67" s="63">
        <v>2013903217</v>
      </c>
      <c r="E67" s="63">
        <v>-1031040909</v>
      </c>
      <c r="F67" s="63"/>
      <c r="G67" s="63">
        <f>B67*G3</f>
        <v>0</v>
      </c>
      <c r="H67" s="63">
        <f>C67*G3</f>
        <v>0</v>
      </c>
      <c r="I67" s="63">
        <f>D67*G3</f>
        <v>0</v>
      </c>
      <c r="J67" s="63">
        <f>E67*G3</f>
        <v>0</v>
      </c>
      <c r="L67" s="5"/>
    </row>
    <row r="68" spans="1:12" ht="18.75" customHeight="1">
      <c r="A68" s="78" t="s">
        <v>25</v>
      </c>
      <c r="B68" s="33">
        <v>5</v>
      </c>
      <c r="C68" s="33">
        <v>5</v>
      </c>
      <c r="D68" s="33">
        <v>5</v>
      </c>
      <c r="E68" s="33">
        <v>5</v>
      </c>
      <c r="F68" s="33"/>
      <c r="G68" s="33">
        <v>5</v>
      </c>
      <c r="H68" s="33">
        <v>5</v>
      </c>
      <c r="I68" s="33">
        <v>5</v>
      </c>
      <c r="J68" s="33">
        <v>5</v>
      </c>
      <c r="L68" s="32"/>
    </row>
    <row r="69" spans="1:12" ht="15">
      <c r="A69" s="13" t="s">
        <v>15</v>
      </c>
      <c r="B69" s="20">
        <v>362873017</v>
      </c>
      <c r="G69" s="20">
        <f aca="true" t="shared" si="4" ref="G69:G77">B69*$G$3</f>
        <v>0</v>
      </c>
      <c r="I69" s="13"/>
      <c r="J69" s="13"/>
      <c r="L69" s="13"/>
    </row>
    <row r="70" spans="1:12" ht="15">
      <c r="A70" s="13" t="s">
        <v>16</v>
      </c>
      <c r="B70" s="12">
        <v>362873017</v>
      </c>
      <c r="C70" s="20">
        <v>-303891120</v>
      </c>
      <c r="D70" s="20"/>
      <c r="E70" s="20"/>
      <c r="F70" s="20"/>
      <c r="G70" s="82">
        <f t="shared" si="4"/>
        <v>0</v>
      </c>
      <c r="H70" s="20">
        <f aca="true" t="shared" si="5" ref="H70:H77">C70*$G$3</f>
        <v>0</v>
      </c>
      <c r="I70" s="13"/>
      <c r="J70" s="13"/>
      <c r="L70" s="13"/>
    </row>
    <row r="71" spans="1:12" ht="15">
      <c r="A71" s="13" t="s">
        <v>17</v>
      </c>
      <c r="B71" s="12">
        <v>362873017</v>
      </c>
      <c r="C71" s="12">
        <v>-303891120</v>
      </c>
      <c r="D71" s="20">
        <f>-(D67/D68)</f>
        <v>-402780643.4</v>
      </c>
      <c r="F71" s="20"/>
      <c r="G71" s="82">
        <f t="shared" si="4"/>
        <v>0</v>
      </c>
      <c r="H71" s="82">
        <f t="shared" si="5"/>
        <v>0</v>
      </c>
      <c r="I71" s="20">
        <f aca="true" t="shared" si="6" ref="I71:J76">D71*$G$3</f>
        <v>0</v>
      </c>
      <c r="L71" s="13"/>
    </row>
    <row r="72" spans="1:12" ht="15">
      <c r="A72" s="13" t="s">
        <v>18</v>
      </c>
      <c r="B72" s="12">
        <v>362873017</v>
      </c>
      <c r="C72" s="12">
        <v>-303891120</v>
      </c>
      <c r="D72" s="12">
        <f>D71</f>
        <v>-402780643.4</v>
      </c>
      <c r="E72" s="20">
        <f>-(E67/E68)</f>
        <v>206208181.8</v>
      </c>
      <c r="F72" s="12"/>
      <c r="G72" s="82">
        <f t="shared" si="4"/>
        <v>0</v>
      </c>
      <c r="H72" s="82">
        <f t="shared" si="5"/>
        <v>0</v>
      </c>
      <c r="I72" s="82">
        <f t="shared" si="6"/>
        <v>0</v>
      </c>
      <c r="J72" s="20">
        <f>E72*$G$3</f>
        <v>0</v>
      </c>
      <c r="L72" s="13"/>
    </row>
    <row r="73" spans="1:12" ht="15">
      <c r="A73" s="13" t="s">
        <v>19</v>
      </c>
      <c r="B73" s="12">
        <v>362873017</v>
      </c>
      <c r="C73" s="12">
        <v>-303891120</v>
      </c>
      <c r="D73" s="12">
        <f>D72</f>
        <v>-402780643.4</v>
      </c>
      <c r="E73" s="12">
        <v>206208182</v>
      </c>
      <c r="F73" s="12"/>
      <c r="G73" s="82">
        <f t="shared" si="4"/>
        <v>0</v>
      </c>
      <c r="H73" s="82">
        <f t="shared" si="5"/>
        <v>0</v>
      </c>
      <c r="I73" s="82">
        <f t="shared" si="6"/>
        <v>0</v>
      </c>
      <c r="J73" s="82">
        <f t="shared" si="6"/>
        <v>0</v>
      </c>
      <c r="L73" s="13"/>
    </row>
    <row r="74" spans="1:10" ht="15">
      <c r="A74" s="13" t="s">
        <v>20</v>
      </c>
      <c r="B74" s="12">
        <v>0</v>
      </c>
      <c r="C74" s="12">
        <v>-303891118</v>
      </c>
      <c r="D74" s="12">
        <f>D73</f>
        <v>-402780643.4</v>
      </c>
      <c r="E74" s="12">
        <v>206208182</v>
      </c>
      <c r="F74" s="12"/>
      <c r="G74" s="35">
        <f t="shared" si="4"/>
        <v>0</v>
      </c>
      <c r="H74" s="82">
        <f t="shared" si="5"/>
        <v>0</v>
      </c>
      <c r="I74" s="82">
        <f t="shared" si="6"/>
        <v>0</v>
      </c>
      <c r="J74" s="82">
        <f t="shared" si="6"/>
        <v>0</v>
      </c>
    </row>
    <row r="75" spans="1:10" ht="15">
      <c r="A75" s="13" t="s">
        <v>30</v>
      </c>
      <c r="B75" s="12">
        <v>0</v>
      </c>
      <c r="C75" s="12">
        <v>0</v>
      </c>
      <c r="D75" s="12">
        <f>-(D67+SUM(D71:D74))-2</f>
        <v>-402780645.4000001</v>
      </c>
      <c r="E75" s="12">
        <v>206208182</v>
      </c>
      <c r="F75" s="12"/>
      <c r="G75" s="35">
        <f t="shared" si="4"/>
        <v>0</v>
      </c>
      <c r="H75" s="35">
        <f t="shared" si="5"/>
        <v>0</v>
      </c>
      <c r="I75" s="82">
        <f t="shared" si="6"/>
        <v>0</v>
      </c>
      <c r="J75" s="82">
        <f t="shared" si="6"/>
        <v>0</v>
      </c>
    </row>
    <row r="76" spans="1:10" ht="15">
      <c r="A76" s="13" t="s">
        <v>55</v>
      </c>
      <c r="B76" s="12">
        <v>0</v>
      </c>
      <c r="C76" s="12">
        <v>0</v>
      </c>
      <c r="D76" s="12">
        <v>0</v>
      </c>
      <c r="E76" s="12">
        <f>-E67-SUM(E72:E75)</f>
        <v>206208181.20000005</v>
      </c>
      <c r="F76" s="12"/>
      <c r="G76" s="35">
        <f t="shared" si="4"/>
        <v>0</v>
      </c>
      <c r="H76" s="35">
        <f t="shared" si="5"/>
        <v>0</v>
      </c>
      <c r="I76" s="35">
        <f t="shared" si="6"/>
        <v>0</v>
      </c>
      <c r="J76" s="82">
        <f t="shared" si="6"/>
        <v>0</v>
      </c>
    </row>
    <row r="77" spans="1:10" ht="15">
      <c r="A77" s="13" t="s">
        <v>72</v>
      </c>
      <c r="B77" s="12">
        <v>0</v>
      </c>
      <c r="C77" s="12">
        <v>0</v>
      </c>
      <c r="D77" s="12">
        <v>0</v>
      </c>
      <c r="E77" s="12">
        <v>0</v>
      </c>
      <c r="F77" s="12"/>
      <c r="G77" s="35">
        <f t="shared" si="4"/>
        <v>0</v>
      </c>
      <c r="H77" s="35">
        <f t="shared" si="5"/>
        <v>0</v>
      </c>
      <c r="I77" s="35">
        <v>0</v>
      </c>
      <c r="J77" s="35">
        <v>0</v>
      </c>
    </row>
    <row r="78" spans="1:10" ht="15">
      <c r="A78" s="13" t="s">
        <v>31</v>
      </c>
      <c r="B78" s="12">
        <v>0</v>
      </c>
      <c r="C78" s="12">
        <v>0</v>
      </c>
      <c r="D78" s="12">
        <v>0</v>
      </c>
      <c r="E78" s="12">
        <v>0</v>
      </c>
      <c r="F78" s="12"/>
      <c r="G78" s="35">
        <f>B78*$G$3</f>
        <v>0</v>
      </c>
      <c r="H78" s="35">
        <f>C78*$G$3</f>
        <v>0</v>
      </c>
      <c r="I78" s="35">
        <f>D78*$G$3</f>
        <v>0</v>
      </c>
      <c r="J78" s="35">
        <f>E78*$G$3</f>
        <v>0</v>
      </c>
    </row>
    <row r="79" spans="7:8" ht="6" customHeight="1">
      <c r="G79" s="38"/>
      <c r="H79"/>
    </row>
    <row r="80" spans="1:10" ht="15">
      <c r="A80" s="60" t="s">
        <v>71</v>
      </c>
      <c r="B80" s="51">
        <f>SUM(B73:B78)</f>
        <v>362873017</v>
      </c>
      <c r="C80" s="51">
        <f>SUM(C73:C78)</f>
        <v>-607782238</v>
      </c>
      <c r="D80" s="12">
        <f>SUM(D73:D78)</f>
        <v>-1208341932.2</v>
      </c>
      <c r="E80" s="12">
        <f>SUM(E73:E78)</f>
        <v>824832727.2</v>
      </c>
      <c r="F80" s="12"/>
      <c r="G80" s="51">
        <f>SUM(G72:G78)</f>
        <v>0</v>
      </c>
      <c r="H80" s="51">
        <f>SUM(H72:H78)</f>
        <v>0</v>
      </c>
      <c r="I80" s="51">
        <f>SUM(I72:I78)</f>
        <v>0</v>
      </c>
      <c r="J80" s="51">
        <f>SUM(J72:J78)</f>
        <v>0</v>
      </c>
    </row>
    <row r="81" spans="1:10" ht="15">
      <c r="A81" s="94" t="s">
        <v>61</v>
      </c>
      <c r="B81" s="137">
        <f>SUM(B67,B69,B70,B71,C67,C70,C71,D67,D71,B72,C72,D72,E72,E67)</f>
        <v>628418423.9999998</v>
      </c>
      <c r="C81" s="137"/>
      <c r="D81" s="137"/>
      <c r="E81" s="137"/>
      <c r="F81" s="109"/>
      <c r="G81" s="143">
        <f>SUM(G67,G69,G70,G71,H67,H70,H71,I67,I71,G72,H72,I72,J67,J72)</f>
        <v>0</v>
      </c>
      <c r="H81" s="143"/>
      <c r="I81" s="143"/>
      <c r="J81" s="143"/>
    </row>
    <row r="83" spans="1:10" ht="21" customHeight="1" thickBot="1">
      <c r="A83" s="118" t="s">
        <v>102</v>
      </c>
      <c r="B83" s="118"/>
      <c r="C83" s="118"/>
      <c r="D83" s="118"/>
      <c r="E83" s="118"/>
      <c r="F83" s="118"/>
      <c r="G83" s="118"/>
      <c r="H83" s="118"/>
      <c r="I83" s="118"/>
      <c r="J83" s="118"/>
    </row>
    <row r="84" spans="2:10" ht="15.75" customHeight="1" thickBot="1">
      <c r="B84" s="136" t="s">
        <v>53</v>
      </c>
      <c r="C84" s="136"/>
      <c r="D84" s="136"/>
      <c r="E84" s="136"/>
      <c r="F84" s="104"/>
      <c r="G84" s="140">
        <f>$G$2</f>
        <v>0</v>
      </c>
      <c r="H84" s="141"/>
      <c r="I84" s="141"/>
      <c r="J84" s="141"/>
    </row>
    <row r="85" spans="2:12" ht="15">
      <c r="B85" s="31" t="s">
        <v>50</v>
      </c>
      <c r="C85" s="31" t="s">
        <v>51</v>
      </c>
      <c r="D85" s="31" t="s">
        <v>52</v>
      </c>
      <c r="E85" s="31" t="s">
        <v>73</v>
      </c>
      <c r="F85" s="81"/>
      <c r="G85" s="31" t="s">
        <v>50</v>
      </c>
      <c r="H85" s="31" t="s">
        <v>51</v>
      </c>
      <c r="I85" s="31" t="s">
        <v>52</v>
      </c>
      <c r="J85" s="31" t="s">
        <v>73</v>
      </c>
      <c r="L85" s="5"/>
    </row>
    <row r="86" spans="1:12" ht="15">
      <c r="A86" t="s">
        <v>49</v>
      </c>
      <c r="B86" s="63">
        <v>0</v>
      </c>
      <c r="C86" s="63">
        <v>0</v>
      </c>
      <c r="D86" s="63">
        <v>0</v>
      </c>
      <c r="E86" s="63">
        <v>1746649065</v>
      </c>
      <c r="F86" s="63"/>
      <c r="G86" s="63">
        <f>B86*G3</f>
        <v>0</v>
      </c>
      <c r="H86" s="63">
        <f>C86*G3</f>
        <v>0</v>
      </c>
      <c r="I86" s="63">
        <f>D86*G3</f>
        <v>0</v>
      </c>
      <c r="J86" s="63">
        <f>E86*G3</f>
        <v>0</v>
      </c>
      <c r="L86" s="5"/>
    </row>
    <row r="87" spans="1:12" ht="18.75" customHeight="1">
      <c r="A87" s="78" t="s">
        <v>24</v>
      </c>
      <c r="B87" s="33">
        <v>4.233</v>
      </c>
      <c r="C87" s="33">
        <v>4.164</v>
      </c>
      <c r="D87" s="33">
        <v>4.116</v>
      </c>
      <c r="E87" s="33">
        <v>4.073</v>
      </c>
      <c r="F87" s="33"/>
      <c r="G87" s="33">
        <v>4.233</v>
      </c>
      <c r="H87" s="33">
        <v>4.164</v>
      </c>
      <c r="I87" s="33">
        <v>4.116</v>
      </c>
      <c r="J87" s="33">
        <v>4.073</v>
      </c>
      <c r="L87" s="32"/>
    </row>
    <row r="88" spans="1:12" ht="15">
      <c r="A88" s="13" t="s">
        <v>15</v>
      </c>
      <c r="B88" s="20">
        <v>0</v>
      </c>
      <c r="G88" s="20">
        <f aca="true" t="shared" si="7" ref="G88:G96">B88*$G$3</f>
        <v>0</v>
      </c>
      <c r="H88" s="39"/>
      <c r="I88" s="13"/>
      <c r="J88" s="13"/>
      <c r="L88" s="13"/>
    </row>
    <row r="89" spans="1:12" ht="15">
      <c r="A89" s="13" t="s">
        <v>16</v>
      </c>
      <c r="B89" s="12">
        <v>0</v>
      </c>
      <c r="C89" s="20">
        <v>0</v>
      </c>
      <c r="D89" s="20"/>
      <c r="E89" s="20"/>
      <c r="F89" s="20"/>
      <c r="G89" s="82">
        <f t="shared" si="7"/>
        <v>0</v>
      </c>
      <c r="H89" s="20">
        <f aca="true" t="shared" si="8" ref="H89:H96">C89*$G$3</f>
        <v>0</v>
      </c>
      <c r="I89" s="13"/>
      <c r="J89" s="13"/>
      <c r="L89" s="13"/>
    </row>
    <row r="90" spans="1:12" ht="15">
      <c r="A90" s="13" t="s">
        <v>17</v>
      </c>
      <c r="B90" s="12">
        <v>0</v>
      </c>
      <c r="C90" s="12">
        <v>0</v>
      </c>
      <c r="D90" s="20">
        <v>0</v>
      </c>
      <c r="F90" s="20"/>
      <c r="G90" s="82">
        <f t="shared" si="7"/>
        <v>0</v>
      </c>
      <c r="H90" s="82">
        <f t="shared" si="8"/>
        <v>0</v>
      </c>
      <c r="I90" s="20">
        <f aca="true" t="shared" si="9" ref="I90:I96">D90*$G$3</f>
        <v>0</v>
      </c>
      <c r="L90" s="13"/>
    </row>
    <row r="91" spans="1:12" ht="15">
      <c r="A91" s="13" t="s">
        <v>18</v>
      </c>
      <c r="B91" s="12">
        <v>0</v>
      </c>
      <c r="C91" s="12">
        <v>0</v>
      </c>
      <c r="D91" s="12">
        <v>0</v>
      </c>
      <c r="E91" s="20">
        <f>-(E86/E87)</f>
        <v>-428836009.0842131</v>
      </c>
      <c r="F91" s="12"/>
      <c r="G91" s="82">
        <f t="shared" si="7"/>
        <v>0</v>
      </c>
      <c r="H91" s="82">
        <f t="shared" si="8"/>
        <v>0</v>
      </c>
      <c r="I91" s="82">
        <f t="shared" si="9"/>
        <v>0</v>
      </c>
      <c r="J91" s="82">
        <f>E91*$G$3</f>
        <v>0</v>
      </c>
      <c r="L91" s="13"/>
    </row>
    <row r="92" spans="1:12" ht="15">
      <c r="A92" s="13" t="s">
        <v>19</v>
      </c>
      <c r="B92" s="12">
        <v>0</v>
      </c>
      <c r="C92" s="12">
        <v>0</v>
      </c>
      <c r="D92" s="12">
        <v>0</v>
      </c>
      <c r="E92" s="12">
        <v>-428836009</v>
      </c>
      <c r="F92" s="12"/>
      <c r="G92" s="82">
        <f t="shared" si="7"/>
        <v>0</v>
      </c>
      <c r="H92" s="82">
        <f t="shared" si="8"/>
        <v>0</v>
      </c>
      <c r="I92" s="82">
        <f t="shared" si="9"/>
        <v>0</v>
      </c>
      <c r="J92" s="82">
        <f>E92*$G$3</f>
        <v>0</v>
      </c>
      <c r="L92" s="13"/>
    </row>
    <row r="93" spans="1:10" ht="15">
      <c r="A93" s="13" t="s">
        <v>20</v>
      </c>
      <c r="B93" s="12">
        <v>0</v>
      </c>
      <c r="C93" s="12">
        <v>0</v>
      </c>
      <c r="D93" s="12">
        <v>0</v>
      </c>
      <c r="E93" s="12">
        <v>-428836009</v>
      </c>
      <c r="F93" s="12"/>
      <c r="G93" s="35">
        <f t="shared" si="7"/>
        <v>0</v>
      </c>
      <c r="H93" s="82">
        <f t="shared" si="8"/>
        <v>0</v>
      </c>
      <c r="I93" s="82">
        <f t="shared" si="9"/>
        <v>0</v>
      </c>
      <c r="J93" s="82">
        <f>E93*$G$3</f>
        <v>0</v>
      </c>
    </row>
    <row r="94" spans="1:10" ht="15">
      <c r="A94" s="13" t="s">
        <v>30</v>
      </c>
      <c r="B94" s="12">
        <v>0</v>
      </c>
      <c r="C94" s="12">
        <v>0</v>
      </c>
      <c r="D94" s="12">
        <v>0</v>
      </c>
      <c r="E94" s="12">
        <v>-428836009</v>
      </c>
      <c r="F94" s="12"/>
      <c r="G94" s="35">
        <f t="shared" si="7"/>
        <v>0</v>
      </c>
      <c r="H94" s="35">
        <f t="shared" si="8"/>
        <v>0</v>
      </c>
      <c r="I94" s="82">
        <f t="shared" si="9"/>
        <v>0</v>
      </c>
      <c r="J94" s="82">
        <f>E94*$G$3</f>
        <v>0</v>
      </c>
    </row>
    <row r="95" spans="1:10" ht="15">
      <c r="A95" s="13" t="s">
        <v>55</v>
      </c>
      <c r="B95" s="12">
        <v>0</v>
      </c>
      <c r="C95" s="12">
        <v>0</v>
      </c>
      <c r="D95" s="12">
        <v>0</v>
      </c>
      <c r="E95" s="12">
        <f>-E86-SUM(E91:E94)</f>
        <v>-31305028.91578698</v>
      </c>
      <c r="F95" s="12"/>
      <c r="G95" s="35">
        <f t="shared" si="7"/>
        <v>0</v>
      </c>
      <c r="H95" s="35">
        <f t="shared" si="8"/>
        <v>0</v>
      </c>
      <c r="I95" s="35">
        <f t="shared" si="9"/>
        <v>0</v>
      </c>
      <c r="J95" s="82">
        <f>E95*$G$3</f>
        <v>0</v>
      </c>
    </row>
    <row r="96" spans="1:10" ht="15">
      <c r="A96" s="13" t="s">
        <v>72</v>
      </c>
      <c r="B96" s="12">
        <v>0</v>
      </c>
      <c r="C96" s="12">
        <v>0</v>
      </c>
      <c r="D96" s="12">
        <v>0</v>
      </c>
      <c r="E96" s="12">
        <v>0</v>
      </c>
      <c r="F96" s="12"/>
      <c r="G96" s="35">
        <f t="shared" si="7"/>
        <v>0</v>
      </c>
      <c r="H96" s="35">
        <f t="shared" si="8"/>
        <v>0</v>
      </c>
      <c r="I96" s="35">
        <f t="shared" si="9"/>
        <v>0</v>
      </c>
      <c r="J96" s="35">
        <v>0</v>
      </c>
    </row>
    <row r="97" spans="1:10" ht="15">
      <c r="A97" s="13" t="s">
        <v>31</v>
      </c>
      <c r="B97" s="12">
        <v>0</v>
      </c>
      <c r="C97" s="12">
        <v>0</v>
      </c>
      <c r="D97" s="12">
        <v>0</v>
      </c>
      <c r="E97" s="12">
        <v>0</v>
      </c>
      <c r="F97" s="12"/>
      <c r="G97" s="35">
        <f>B97*$G$3</f>
        <v>0</v>
      </c>
      <c r="H97" s="35">
        <f>C97*$G$3</f>
        <v>0</v>
      </c>
      <c r="I97" s="35">
        <f>D97*$G$3</f>
        <v>0</v>
      </c>
      <c r="J97" s="35">
        <f>E97*$G$3</f>
        <v>0</v>
      </c>
    </row>
    <row r="98" spans="7:8" ht="6" customHeight="1">
      <c r="G98" s="39"/>
      <c r="H98"/>
    </row>
    <row r="99" spans="1:10" ht="15">
      <c r="A99" s="60" t="s">
        <v>71</v>
      </c>
      <c r="B99" s="51">
        <f>SUM(B91:B97)</f>
        <v>0</v>
      </c>
      <c r="C99" s="51">
        <f>SUM(C91:C97)</f>
        <v>0</v>
      </c>
      <c r="D99" s="12">
        <f>SUM(D91:D97)</f>
        <v>0</v>
      </c>
      <c r="E99" s="12">
        <f>SUM(E91:E97)</f>
        <v>-1746649065</v>
      </c>
      <c r="F99" s="12"/>
      <c r="G99" s="51">
        <f>SUM(G91:G97)</f>
        <v>0</v>
      </c>
      <c r="H99" s="51">
        <f>SUM(H91:H97)</f>
        <v>0</v>
      </c>
      <c r="I99" s="51">
        <f>SUM(I91:I97)</f>
        <v>0</v>
      </c>
      <c r="J99" s="51">
        <f>SUM(J91:J97)</f>
        <v>0</v>
      </c>
    </row>
    <row r="100" spans="1:10" ht="15">
      <c r="A100" s="94"/>
      <c r="B100" s="66"/>
      <c r="D100" s="66" t="s">
        <v>59</v>
      </c>
      <c r="E100" s="66">
        <f>SUM(E86,E91)</f>
        <v>1317813055.915787</v>
      </c>
      <c r="F100" s="113"/>
      <c r="G100" s="66"/>
      <c r="H100" s="66"/>
      <c r="I100" s="93" t="s">
        <v>59</v>
      </c>
      <c r="J100" s="65">
        <f>SUM(J86,J91)</f>
        <v>0</v>
      </c>
    </row>
    <row r="101" spans="1:10" ht="15">
      <c r="A101" s="94"/>
      <c r="B101" s="113"/>
      <c r="D101" s="113" t="s">
        <v>60</v>
      </c>
      <c r="E101" s="113">
        <v>0</v>
      </c>
      <c r="F101" s="113"/>
      <c r="G101" s="114"/>
      <c r="H101" s="114"/>
      <c r="I101" s="93" t="s">
        <v>60</v>
      </c>
      <c r="J101" s="95">
        <v>0</v>
      </c>
    </row>
    <row r="102" spans="1:9" ht="15">
      <c r="A102" s="94"/>
      <c r="B102" s="113"/>
      <c r="C102" s="113"/>
      <c r="F102" s="113"/>
      <c r="G102" s="114"/>
      <c r="H102" s="114"/>
      <c r="I102" s="114"/>
    </row>
    <row r="103" ht="17.25">
      <c r="A103" s="32" t="s">
        <v>28</v>
      </c>
    </row>
    <row r="104" ht="17.25">
      <c r="A104" s="32" t="s">
        <v>29</v>
      </c>
    </row>
  </sheetData>
  <sheetProtection/>
  <mergeCells count="34">
    <mergeCell ref="B84:E84"/>
    <mergeCell ref="A64:J64"/>
    <mergeCell ref="G84:J84"/>
    <mergeCell ref="G65:J65"/>
    <mergeCell ref="G81:J81"/>
    <mergeCell ref="A44:J44"/>
    <mergeCell ref="A36:C36"/>
    <mergeCell ref="B65:E65"/>
    <mergeCell ref="B81:E81"/>
    <mergeCell ref="H3:I3"/>
    <mergeCell ref="A38:C38"/>
    <mergeCell ref="A39:C39"/>
    <mergeCell ref="A28:C28"/>
    <mergeCell ref="A29:C29"/>
    <mergeCell ref="A18:D18"/>
    <mergeCell ref="A20:D20"/>
    <mergeCell ref="A27:C27"/>
    <mergeCell ref="A22:C22"/>
    <mergeCell ref="G45:J45"/>
    <mergeCell ref="B45:E45"/>
    <mergeCell ref="A43:I43"/>
    <mergeCell ref="A1:H1"/>
    <mergeCell ref="A26:C26"/>
    <mergeCell ref="A34:C34"/>
    <mergeCell ref="A41:D41"/>
    <mergeCell ref="A42:D42"/>
    <mergeCell ref="A35:C35"/>
    <mergeCell ref="A33:C33"/>
    <mergeCell ref="A32:C32"/>
    <mergeCell ref="A17:D17"/>
    <mergeCell ref="A5:B5"/>
    <mergeCell ref="A6:B6"/>
    <mergeCell ref="A7:B7"/>
    <mergeCell ref="A30:C30"/>
  </mergeCells>
  <printOptions/>
  <pageMargins left="0.25" right="0.25" top="0.25" bottom="0.25" header="0.05" footer="0.05"/>
  <pageSetup fitToHeight="0" fitToWidth="1" horizontalDpi="600" verticalDpi="600" orientation="landscape" scale="79" r:id="rId1"/>
  <headerFooter>
    <oddFooter>&amp;L&amp;A&amp;R&amp;P of &amp;N</oddFooter>
  </headerFooter>
  <rowBreaks count="2" manualBreakCount="2">
    <brk id="42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85" zoomScaleNormal="85" zoomScalePageLayoutView="0" workbookViewId="0" topLeftCell="A1">
      <selection activeCell="G3" sqref="G3"/>
    </sheetView>
  </sheetViews>
  <sheetFormatPr defaultColWidth="9.140625" defaultRowHeight="15"/>
  <cols>
    <col min="1" max="1" width="46.8515625" style="0" customWidth="1"/>
    <col min="2" max="2" width="13.28125" style="0" bestFit="1" customWidth="1"/>
    <col min="3" max="4" width="15.421875" style="0" bestFit="1" customWidth="1"/>
    <col min="5" max="5" width="15.28125" style="0" bestFit="1" customWidth="1"/>
    <col min="6" max="6" width="1.7109375" style="0" customWidth="1"/>
    <col min="7" max="8" width="14.7109375" style="0" customWidth="1"/>
    <col min="9" max="9" width="14.7109375" style="39" customWidth="1"/>
    <col min="10" max="10" width="14.7109375" style="0" customWidth="1"/>
    <col min="11" max="11" width="20.7109375" style="0" customWidth="1"/>
  </cols>
  <sheetData>
    <row r="1" spans="1:7" ht="18.75">
      <c r="A1" s="129" t="s">
        <v>48</v>
      </c>
      <c r="B1" s="129"/>
      <c r="C1" s="129"/>
      <c r="D1" s="129"/>
      <c r="E1" s="129"/>
      <c r="F1" s="129"/>
      <c r="G1" s="129"/>
    </row>
    <row r="2" spans="7:10" ht="18.75">
      <c r="G2" s="90">
        <f>'SCRS NPL Rollforward'!G2</f>
        <v>0</v>
      </c>
      <c r="J2" s="45"/>
    </row>
    <row r="3" spans="7:10" ht="15">
      <c r="G3" s="73"/>
      <c r="H3" s="80" t="s">
        <v>47</v>
      </c>
      <c r="I3" s="80"/>
      <c r="J3" s="80"/>
    </row>
    <row r="4" spans="1:10" ht="42.75" customHeight="1">
      <c r="A4" s="28" t="s">
        <v>14</v>
      </c>
      <c r="B4" s="30"/>
      <c r="C4" s="29" t="s">
        <v>7</v>
      </c>
      <c r="D4" s="29" t="s">
        <v>8</v>
      </c>
      <c r="E4" s="29" t="s">
        <v>9</v>
      </c>
      <c r="G4" s="43" t="s">
        <v>58</v>
      </c>
      <c r="J4" s="23"/>
    </row>
    <row r="5" spans="1:7" ht="15">
      <c r="A5" s="144">
        <v>42551</v>
      </c>
      <c r="B5" s="144"/>
      <c r="C5" s="9">
        <v>6412510458</v>
      </c>
      <c r="D5" s="9">
        <v>3876035732</v>
      </c>
      <c r="E5" s="9">
        <f>C5-D5</f>
        <v>2536474726</v>
      </c>
      <c r="G5" s="41">
        <f>$G$3*E5</f>
        <v>0</v>
      </c>
    </row>
    <row r="6" spans="1:10" ht="15.75">
      <c r="A6" s="133">
        <v>42916</v>
      </c>
      <c r="B6" s="133"/>
      <c r="C6" s="1">
        <v>7013684001</v>
      </c>
      <c r="D6" s="1">
        <v>4274123178</v>
      </c>
      <c r="E6" s="1">
        <f>C6-D6</f>
        <v>2739560823</v>
      </c>
      <c r="G6" s="41">
        <f>$G$3*E6</f>
        <v>0</v>
      </c>
      <c r="J6" s="23"/>
    </row>
    <row r="7" spans="1:7" ht="15.75" thickBot="1">
      <c r="A7" s="134" t="s">
        <v>62</v>
      </c>
      <c r="B7" s="134"/>
      <c r="C7" s="10">
        <f>C6-C5</f>
        <v>601173543</v>
      </c>
      <c r="D7" s="10">
        <f>D6-D5</f>
        <v>398087446</v>
      </c>
      <c r="E7" s="10">
        <f>E6-E5</f>
        <v>203086097</v>
      </c>
      <c r="G7" s="10">
        <f>G6-G5</f>
        <v>0</v>
      </c>
    </row>
    <row r="8" ht="15.75" thickTop="1">
      <c r="G8" s="39"/>
    </row>
    <row r="9" spans="1:7" ht="15.75">
      <c r="A9" s="26" t="s">
        <v>32</v>
      </c>
      <c r="B9" s="8"/>
      <c r="C9" s="11"/>
      <c r="E9" s="27" t="s">
        <v>6</v>
      </c>
      <c r="G9" s="39"/>
    </row>
    <row r="10" spans="1:7" ht="15">
      <c r="A10" s="24" t="s">
        <v>27</v>
      </c>
      <c r="B10" s="2"/>
      <c r="C10" s="2"/>
      <c r="E10" s="5"/>
      <c r="G10" s="39"/>
    </row>
    <row r="11" spans="1:7" ht="15">
      <c r="A11" s="3" t="s">
        <v>0</v>
      </c>
      <c r="B11" s="3"/>
      <c r="C11" s="3"/>
      <c r="E11" s="7">
        <v>166682190</v>
      </c>
      <c r="G11" s="41">
        <f aca="true" t="shared" si="0" ref="G11:G19">$G$3*E11</f>
        <v>0</v>
      </c>
    </row>
    <row r="12" spans="1:7" ht="15">
      <c r="A12" s="3" t="s">
        <v>1</v>
      </c>
      <c r="B12" s="3"/>
      <c r="C12" s="3"/>
      <c r="E12" s="7">
        <v>473058823</v>
      </c>
      <c r="G12" s="41">
        <f t="shared" si="0"/>
        <v>0</v>
      </c>
    </row>
    <row r="13" spans="1:7" ht="15">
      <c r="A13" s="3" t="s">
        <v>2</v>
      </c>
      <c r="B13" s="3"/>
      <c r="C13" s="3"/>
      <c r="E13" s="7">
        <v>0</v>
      </c>
      <c r="G13" s="41">
        <f t="shared" si="0"/>
        <v>0</v>
      </c>
    </row>
    <row r="14" spans="1:7" ht="15">
      <c r="A14" s="3" t="s">
        <v>3</v>
      </c>
      <c r="B14" s="3"/>
      <c r="C14" s="3"/>
      <c r="E14" s="7">
        <v>2149090</v>
      </c>
      <c r="G14" s="41">
        <f t="shared" si="0"/>
        <v>0</v>
      </c>
    </row>
    <row r="15" spans="1:7" ht="15">
      <c r="A15" s="3" t="s">
        <v>4</v>
      </c>
      <c r="B15" s="3"/>
      <c r="C15" s="3"/>
      <c r="E15" s="7">
        <v>-127840332</v>
      </c>
      <c r="G15" s="41">
        <f t="shared" si="0"/>
        <v>0</v>
      </c>
    </row>
    <row r="16" spans="1:7" ht="15">
      <c r="A16" s="3" t="s">
        <v>5</v>
      </c>
      <c r="B16" s="3"/>
      <c r="C16" s="3"/>
      <c r="E16" s="7">
        <v>-288534184</v>
      </c>
      <c r="G16" s="41">
        <f t="shared" si="0"/>
        <v>0</v>
      </c>
    </row>
    <row r="17" spans="1:7" ht="27.75" customHeight="1">
      <c r="A17" s="145" t="s">
        <v>100</v>
      </c>
      <c r="B17" s="145"/>
      <c r="C17" s="145"/>
      <c r="D17" s="145"/>
      <c r="E17" s="7">
        <v>91431460</v>
      </c>
      <c r="G17" s="41">
        <f t="shared" si="0"/>
        <v>0</v>
      </c>
    </row>
    <row r="18" spans="1:7" ht="26.25" customHeight="1">
      <c r="A18" s="145" t="s">
        <v>23</v>
      </c>
      <c r="B18" s="145"/>
      <c r="C18" s="145"/>
      <c r="D18" s="145"/>
      <c r="E18" s="14">
        <v>22612258</v>
      </c>
      <c r="G18" s="41">
        <f t="shared" si="0"/>
        <v>0</v>
      </c>
    </row>
    <row r="19" spans="1:7" ht="15">
      <c r="A19" s="4" t="s">
        <v>10</v>
      </c>
      <c r="B19" s="4"/>
      <c r="C19" s="4"/>
      <c r="E19" s="14">
        <v>-1277501</v>
      </c>
      <c r="G19" s="41">
        <f t="shared" si="0"/>
        <v>0</v>
      </c>
    </row>
    <row r="20" spans="1:7" ht="15">
      <c r="A20" s="146" t="s">
        <v>12</v>
      </c>
      <c r="B20" s="146"/>
      <c r="C20" s="146"/>
      <c r="D20" s="146"/>
      <c r="E20" s="15">
        <f>SUM(E10:E19)</f>
        <v>338281804</v>
      </c>
      <c r="G20" s="15">
        <f>SUM(G11:G19)</f>
        <v>0</v>
      </c>
    </row>
    <row r="21" spans="1:7" ht="6" customHeight="1">
      <c r="A21" s="2"/>
      <c r="B21" s="3"/>
      <c r="C21" s="3"/>
      <c r="E21" s="14"/>
      <c r="G21" s="39"/>
    </row>
    <row r="22" spans="1:10" ht="14.25" customHeight="1">
      <c r="A22" s="139" t="s">
        <v>63</v>
      </c>
      <c r="B22" s="139"/>
      <c r="C22" s="139"/>
      <c r="E22" s="7">
        <v>-192005864</v>
      </c>
      <c r="G22" s="41">
        <f>$G$3*E22</f>
        <v>0</v>
      </c>
      <c r="J22" s="37"/>
    </row>
    <row r="23" spans="1:7" ht="6" customHeight="1">
      <c r="A23" s="3"/>
      <c r="B23" s="3"/>
      <c r="C23" s="3"/>
      <c r="E23" s="14"/>
      <c r="G23" s="39"/>
    </row>
    <row r="24" spans="1:7" ht="15">
      <c r="A24" s="25" t="s">
        <v>26</v>
      </c>
      <c r="B24" s="21"/>
      <c r="C24" s="21"/>
      <c r="E24" s="16"/>
      <c r="G24" s="39"/>
    </row>
    <row r="25" spans="1:7" ht="15">
      <c r="A25" s="21" t="s">
        <v>21</v>
      </c>
      <c r="B25" s="21"/>
      <c r="C25" s="21"/>
      <c r="E25" s="16"/>
      <c r="G25" s="39"/>
    </row>
    <row r="26" spans="1:7" ht="15">
      <c r="A26" s="131" t="s">
        <v>97</v>
      </c>
      <c r="B26" s="131"/>
      <c r="C26" s="131"/>
      <c r="E26" s="7">
        <v>5043820</v>
      </c>
      <c r="G26" s="41">
        <f>$G$3*E26</f>
        <v>0</v>
      </c>
    </row>
    <row r="27" spans="1:7" ht="15">
      <c r="A27" s="131" t="s">
        <v>64</v>
      </c>
      <c r="B27" s="131"/>
      <c r="C27" s="131"/>
      <c r="E27" s="7">
        <v>-13248848</v>
      </c>
      <c r="G27" s="41">
        <f>$G$3*E27</f>
        <v>0</v>
      </c>
    </row>
    <row r="28" spans="1:7" ht="15">
      <c r="A28" s="131" t="s">
        <v>98</v>
      </c>
      <c r="B28" s="131"/>
      <c r="C28" s="131"/>
      <c r="E28" s="7">
        <v>-1411791</v>
      </c>
      <c r="G28" s="41">
        <f>$G$3*E28</f>
        <v>0</v>
      </c>
    </row>
    <row r="29" spans="1:7" ht="15">
      <c r="A29" s="131" t="s">
        <v>66</v>
      </c>
      <c r="B29" s="131"/>
      <c r="C29" s="131"/>
      <c r="E29" s="7">
        <v>-2482729</v>
      </c>
      <c r="G29" s="41">
        <f>$G$3*E29</f>
        <v>0</v>
      </c>
    </row>
    <row r="30" spans="1:7" ht="15">
      <c r="A30" s="131" t="s">
        <v>99</v>
      </c>
      <c r="B30" s="131"/>
      <c r="C30" s="131"/>
      <c r="E30" s="7">
        <f>E51</f>
        <v>-1107801.4495936746</v>
      </c>
      <c r="G30" s="41">
        <f>$G$3*E30</f>
        <v>0</v>
      </c>
    </row>
    <row r="31" spans="1:7" ht="15">
      <c r="A31" s="21" t="s">
        <v>22</v>
      </c>
      <c r="B31" s="22"/>
      <c r="C31" s="22"/>
      <c r="E31" s="7"/>
      <c r="G31" s="39"/>
    </row>
    <row r="32" spans="1:7" ht="15">
      <c r="A32" s="131" t="s">
        <v>78</v>
      </c>
      <c r="B32" s="131"/>
      <c r="C32" s="131"/>
      <c r="E32" s="7">
        <v>-167379810</v>
      </c>
      <c r="G32" s="41">
        <f>$G$3*E32</f>
        <v>0</v>
      </c>
    </row>
    <row r="33" spans="1:7" ht="15">
      <c r="A33" s="131" t="s">
        <v>67</v>
      </c>
      <c r="B33" s="131"/>
      <c r="C33" s="131"/>
      <c r="E33" s="7">
        <v>55378322</v>
      </c>
      <c r="G33" s="41">
        <f>$G$3*E33</f>
        <v>0</v>
      </c>
    </row>
    <row r="34" spans="1:7" ht="15">
      <c r="A34" s="131" t="s">
        <v>68</v>
      </c>
      <c r="B34" s="131"/>
      <c r="C34" s="131"/>
      <c r="E34" s="7">
        <v>-47495588</v>
      </c>
      <c r="G34" s="41">
        <f>$G$3*E34</f>
        <v>0</v>
      </c>
    </row>
    <row r="35" spans="1:7" ht="15">
      <c r="A35" s="131" t="s">
        <v>69</v>
      </c>
      <c r="B35" s="131"/>
      <c r="C35" s="131"/>
      <c r="E35" s="7">
        <v>-63970954</v>
      </c>
      <c r="G35" s="41">
        <f>$G$3*E35</f>
        <v>0</v>
      </c>
    </row>
    <row r="36" spans="1:7" ht="14.25" customHeight="1">
      <c r="A36" s="131" t="s">
        <v>101</v>
      </c>
      <c r="B36" s="131"/>
      <c r="C36" s="131"/>
      <c r="E36" s="7">
        <f>E70</f>
        <v>33475962</v>
      </c>
      <c r="G36" s="41">
        <f>$G$3*E36</f>
        <v>0</v>
      </c>
    </row>
    <row r="37" spans="1:9" ht="15">
      <c r="A37" s="21" t="s">
        <v>76</v>
      </c>
      <c r="B37" s="117"/>
      <c r="C37" s="117"/>
      <c r="E37" s="7"/>
      <c r="G37" s="42"/>
      <c r="H37" s="39"/>
      <c r="I37"/>
    </row>
    <row r="38" spans="1:9" ht="15">
      <c r="A38" s="130" t="s">
        <v>74</v>
      </c>
      <c r="B38" s="130"/>
      <c r="C38" s="130"/>
      <c r="E38" s="7">
        <v>333189865</v>
      </c>
      <c r="G38" s="41">
        <f>$G$3*E38</f>
        <v>0</v>
      </c>
      <c r="H38" s="39"/>
      <c r="I38"/>
    </row>
    <row r="39" spans="1:9" ht="15">
      <c r="A39" s="130" t="s">
        <v>75</v>
      </c>
      <c r="B39" s="130"/>
      <c r="C39" s="130"/>
      <c r="E39" s="7">
        <f>E88</f>
        <v>-73180291.01691192</v>
      </c>
      <c r="G39" s="41">
        <f>$G$3*E39</f>
        <v>0</v>
      </c>
      <c r="H39" s="39"/>
      <c r="I39"/>
    </row>
    <row r="40" spans="1:7" ht="15.75" thickBot="1">
      <c r="A40" s="123" t="s">
        <v>11</v>
      </c>
      <c r="B40" s="123"/>
      <c r="C40" s="123"/>
      <c r="D40" s="123"/>
      <c r="E40" s="17">
        <f>E20+E22+E27+E26+E28+E29+E33+E32+E35+E34+E30+E36+E38+E39</f>
        <v>203086096.5334944</v>
      </c>
      <c r="G40" s="17">
        <f>SUM(G20:G39)</f>
        <v>0</v>
      </c>
    </row>
    <row r="41" spans="1:7" ht="24.75" customHeight="1" thickTop="1">
      <c r="A41" s="123" t="s">
        <v>70</v>
      </c>
      <c r="B41" s="123"/>
      <c r="C41" s="123"/>
      <c r="D41" s="123"/>
      <c r="E41" s="125">
        <f>E7-E40</f>
        <v>0.46650558710098267</v>
      </c>
      <c r="G41" s="77">
        <f>G7-G40</f>
        <v>0</v>
      </c>
    </row>
    <row r="42" spans="1:8" ht="27" customHeight="1">
      <c r="A42" s="142" t="s">
        <v>33</v>
      </c>
      <c r="B42" s="142"/>
      <c r="C42" s="142"/>
      <c r="D42" s="142"/>
      <c r="E42" s="142"/>
      <c r="F42" s="142"/>
      <c r="G42" s="142"/>
      <c r="H42" s="142"/>
    </row>
    <row r="43" spans="1:9" ht="21" customHeight="1" thickBot="1">
      <c r="A43" s="118" t="s">
        <v>56</v>
      </c>
      <c r="B43" s="118"/>
      <c r="C43" s="118"/>
      <c r="D43" s="118"/>
      <c r="E43" s="118"/>
      <c r="F43" s="118"/>
      <c r="G43" s="118"/>
      <c r="H43" s="118"/>
      <c r="I43" s="118"/>
    </row>
    <row r="44" spans="1:10" ht="15.75" customHeight="1" thickBot="1">
      <c r="A44" s="83"/>
      <c r="B44" s="147" t="s">
        <v>53</v>
      </c>
      <c r="C44" s="147"/>
      <c r="D44" s="147"/>
      <c r="E44" s="147"/>
      <c r="F44" s="6"/>
      <c r="G44" s="141">
        <f>G2</f>
        <v>0</v>
      </c>
      <c r="H44" s="141"/>
      <c r="I44" s="141"/>
      <c r="J44" s="141"/>
    </row>
    <row r="45" spans="2:12" ht="15">
      <c r="B45" s="31" t="s">
        <v>50</v>
      </c>
      <c r="C45" s="31" t="s">
        <v>51</v>
      </c>
      <c r="D45" s="31" t="s">
        <v>52</v>
      </c>
      <c r="E45" s="31" t="s">
        <v>73</v>
      </c>
      <c r="G45" s="31" t="s">
        <v>50</v>
      </c>
      <c r="H45" s="31" t="s">
        <v>51</v>
      </c>
      <c r="I45" s="31" t="s">
        <v>52</v>
      </c>
      <c r="J45" s="31" t="s">
        <v>73</v>
      </c>
      <c r="K45" s="19"/>
      <c r="L45" s="81"/>
    </row>
    <row r="46" spans="1:10" ht="15">
      <c r="A46" t="s">
        <v>49</v>
      </c>
      <c r="B46" s="61">
        <v>64336408</v>
      </c>
      <c r="C46" s="62">
        <v>6770951</v>
      </c>
      <c r="D46" s="62">
        <v>11581930</v>
      </c>
      <c r="E46" s="62">
        <v>5043820</v>
      </c>
      <c r="G46" s="88">
        <f>B46*G3</f>
        <v>0</v>
      </c>
      <c r="H46" s="89">
        <f>C46*G3</f>
        <v>0</v>
      </c>
      <c r="I46" s="89">
        <f>D46*G3</f>
        <v>0</v>
      </c>
      <c r="J46" s="88">
        <f>E46*$G$3</f>
        <v>0</v>
      </c>
    </row>
    <row r="47" spans="1:11" ht="18.75" customHeight="1">
      <c r="A47" s="84" t="s">
        <v>24</v>
      </c>
      <c r="B47" s="33">
        <v>4.856</v>
      </c>
      <c r="C47" s="33">
        <v>4.796</v>
      </c>
      <c r="D47" s="33">
        <v>4.665</v>
      </c>
      <c r="E47" s="33">
        <v>4.553</v>
      </c>
      <c r="G47" s="33">
        <v>4.856</v>
      </c>
      <c r="H47" s="33">
        <v>4.796</v>
      </c>
      <c r="I47" s="33">
        <v>4.665</v>
      </c>
      <c r="J47" s="33">
        <v>4.553</v>
      </c>
      <c r="K47" s="32"/>
    </row>
    <row r="48" spans="1:11" ht="15">
      <c r="A48" s="13" t="s">
        <v>15</v>
      </c>
      <c r="B48" s="20">
        <v>-13248848</v>
      </c>
      <c r="C48" s="35"/>
      <c r="D48" s="19"/>
      <c r="E48" s="19"/>
      <c r="G48" s="20">
        <f>B48*G3</f>
        <v>0</v>
      </c>
      <c r="I48"/>
      <c r="J48" s="39"/>
      <c r="K48" s="5"/>
    </row>
    <row r="49" spans="1:11" ht="15">
      <c r="A49" s="13" t="s">
        <v>16</v>
      </c>
      <c r="B49" s="1">
        <v>-13248848</v>
      </c>
      <c r="C49" s="20">
        <v>-1411791</v>
      </c>
      <c r="D49" s="20"/>
      <c r="E49" s="20"/>
      <c r="G49" s="41">
        <f>B49*$G$3</f>
        <v>0</v>
      </c>
      <c r="H49" s="9">
        <f>C49*G3</f>
        <v>0</v>
      </c>
      <c r="I49"/>
      <c r="J49" s="39"/>
      <c r="K49" s="32"/>
    </row>
    <row r="50" spans="1:10" ht="15">
      <c r="A50" s="13" t="s">
        <v>17</v>
      </c>
      <c r="B50" s="1">
        <v>-13248848</v>
      </c>
      <c r="C50" s="1">
        <v>-1411791</v>
      </c>
      <c r="D50" s="9">
        <v>-2482729</v>
      </c>
      <c r="G50" s="41">
        <f>B50*$G$3</f>
        <v>0</v>
      </c>
      <c r="H50" s="1">
        <f>C50*$G$3</f>
        <v>0</v>
      </c>
      <c r="I50" s="9">
        <f>D50*G3</f>
        <v>0</v>
      </c>
      <c r="J50" s="39"/>
    </row>
    <row r="51" spans="1:10" ht="15">
      <c r="A51" s="13" t="s">
        <v>18</v>
      </c>
      <c r="B51" s="1">
        <v>-13248848</v>
      </c>
      <c r="C51" s="1">
        <v>-1411791</v>
      </c>
      <c r="D51" s="1">
        <v>-2482729</v>
      </c>
      <c r="E51" s="9">
        <f>-(E46/E47)</f>
        <v>-1107801.4495936746</v>
      </c>
      <c r="G51" s="41">
        <f>B51*$G$3</f>
        <v>0</v>
      </c>
      <c r="H51" s="1">
        <f>C51*$G$3</f>
        <v>0</v>
      </c>
      <c r="I51" s="12">
        <f>D51*$G$3</f>
        <v>0</v>
      </c>
      <c r="J51" s="12">
        <f>E51*$G$3</f>
        <v>0</v>
      </c>
    </row>
    <row r="52" spans="1:10" ht="15">
      <c r="A52" s="13" t="s">
        <v>19</v>
      </c>
      <c r="B52" s="12">
        <v>-11341016</v>
      </c>
      <c r="C52" s="1">
        <v>-1411791</v>
      </c>
      <c r="D52" s="1">
        <v>-2482729</v>
      </c>
      <c r="E52" s="1">
        <f>E51</f>
        <v>-1107801.4495936746</v>
      </c>
      <c r="G52" s="41">
        <f>B52*$G$3</f>
        <v>0</v>
      </c>
      <c r="H52" s="1">
        <f>C52*$G$3</f>
        <v>0</v>
      </c>
      <c r="I52" s="12">
        <f>D52*$G$3</f>
        <v>0</v>
      </c>
      <c r="J52" s="12">
        <f>E52*$G$3</f>
        <v>0</v>
      </c>
    </row>
    <row r="53" spans="1:10" ht="15">
      <c r="A53" s="13" t="s">
        <v>20</v>
      </c>
      <c r="B53" s="34">
        <v>0</v>
      </c>
      <c r="C53" s="12">
        <v>-1123787</v>
      </c>
      <c r="D53" s="12">
        <v>-2482729</v>
      </c>
      <c r="E53" s="1">
        <f>E52</f>
        <v>-1107801.4495936746</v>
      </c>
      <c r="G53" s="34">
        <v>0</v>
      </c>
      <c r="H53" s="1">
        <f>C53*$G$3</f>
        <v>0</v>
      </c>
      <c r="I53" s="12">
        <f>D53*$G$3</f>
        <v>0</v>
      </c>
      <c r="J53" s="12">
        <f>E53*$G$3</f>
        <v>0</v>
      </c>
    </row>
    <row r="54" spans="1:10" ht="15">
      <c r="A54" s="13" t="s">
        <v>30</v>
      </c>
      <c r="B54" s="34">
        <v>0</v>
      </c>
      <c r="C54" s="12">
        <v>0</v>
      </c>
      <c r="D54" s="12">
        <v>-1651014</v>
      </c>
      <c r="E54" s="12">
        <f>E53</f>
        <v>-1107801.4495936746</v>
      </c>
      <c r="G54" s="34">
        <v>0</v>
      </c>
      <c r="H54" s="12">
        <v>0</v>
      </c>
      <c r="I54" s="12">
        <f>D54*$G$3</f>
        <v>0</v>
      </c>
      <c r="J54" s="12">
        <f>E54*$G$3</f>
        <v>0</v>
      </c>
    </row>
    <row r="55" spans="1:10" ht="15">
      <c r="A55" s="13" t="s">
        <v>55</v>
      </c>
      <c r="B55" s="34">
        <v>0</v>
      </c>
      <c r="C55" s="12">
        <v>0</v>
      </c>
      <c r="D55" s="12">
        <v>0</v>
      </c>
      <c r="E55" s="12">
        <f>-(E46+SUM(E51:E54))-2</f>
        <v>-612616.2016253015</v>
      </c>
      <c r="G55" s="34">
        <v>0</v>
      </c>
      <c r="H55" s="12">
        <v>0</v>
      </c>
      <c r="I55" s="12">
        <v>0</v>
      </c>
      <c r="J55" s="12">
        <f>E55*$G$3</f>
        <v>0</v>
      </c>
    </row>
    <row r="56" spans="1:10" ht="15">
      <c r="A56" s="13" t="s">
        <v>31</v>
      </c>
      <c r="B56" s="34">
        <v>0</v>
      </c>
      <c r="C56" s="12">
        <v>0</v>
      </c>
      <c r="D56" s="34">
        <v>0</v>
      </c>
      <c r="E56" s="12">
        <v>0</v>
      </c>
      <c r="G56" s="34">
        <v>0</v>
      </c>
      <c r="H56" s="12">
        <v>0</v>
      </c>
      <c r="I56" s="34">
        <v>0</v>
      </c>
      <c r="J56" s="41">
        <v>0</v>
      </c>
    </row>
    <row r="57" spans="2:10" ht="6" customHeight="1">
      <c r="B57" s="34"/>
      <c r="C57" s="12"/>
      <c r="G57" s="34"/>
      <c r="H57" s="12"/>
      <c r="I57"/>
      <c r="J57" s="39"/>
    </row>
    <row r="58" spans="1:11" ht="15">
      <c r="A58" s="60" t="s">
        <v>71</v>
      </c>
      <c r="B58" s="67">
        <f>SUM(B52:B56)</f>
        <v>-11341016</v>
      </c>
      <c r="C58" s="67">
        <f>SUM(C52:C56)</f>
        <v>-2535578</v>
      </c>
      <c r="D58" s="67">
        <f>SUM(D52:D56)</f>
        <v>-6616472</v>
      </c>
      <c r="E58" s="67">
        <f>SUM(E52:E56)+1</f>
        <v>-3936019.5504063256</v>
      </c>
      <c r="G58" s="67">
        <f>SUM(G52:G56)</f>
        <v>0</v>
      </c>
      <c r="H58" s="67">
        <f>SUM(H52:H56)</f>
        <v>0</v>
      </c>
      <c r="I58" s="67">
        <f>SUM(I52:I56)</f>
        <v>0</v>
      </c>
      <c r="J58" s="67">
        <f>SUM(J52:J56)</f>
        <v>0</v>
      </c>
      <c r="K58" s="67"/>
    </row>
    <row r="59" spans="8:10" ht="5.25" customHeight="1">
      <c r="H59" s="12"/>
      <c r="I59"/>
      <c r="J59" s="39"/>
    </row>
    <row r="60" spans="1:10" ht="15">
      <c r="A60" s="60"/>
      <c r="D60" s="93" t="s">
        <v>59</v>
      </c>
      <c r="E60" s="66">
        <f>SUM(B46,B48,B49,B50,C46,C49,C50,D46,D50,E46,E51,D51,C51,B51)</f>
        <v>24429084.550406322</v>
      </c>
      <c r="F60" s="66"/>
      <c r="I60" s="93" t="s">
        <v>59</v>
      </c>
      <c r="J60" s="95">
        <f>SUM(G46,G48,G49,G50,H46,H49,H50,I46,I50,J46,G51,H51,I51,J51)</f>
        <v>0</v>
      </c>
    </row>
    <row r="61" spans="4:10" ht="15">
      <c r="D61" s="93" t="s">
        <v>60</v>
      </c>
      <c r="E61" s="95">
        <v>0</v>
      </c>
      <c r="I61" s="93" t="s">
        <v>60</v>
      </c>
      <c r="J61" s="95">
        <v>0</v>
      </c>
    </row>
    <row r="62" spans="1:10" ht="21" customHeight="1" thickBot="1">
      <c r="A62" s="118" t="s">
        <v>57</v>
      </c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10" ht="15.75" customHeight="1" thickBot="1">
      <c r="A63" s="86"/>
      <c r="B63" s="147" t="s">
        <v>53</v>
      </c>
      <c r="C63" s="147"/>
      <c r="D63" s="147"/>
      <c r="E63" s="147"/>
      <c r="G63" s="141">
        <f>G2</f>
        <v>0</v>
      </c>
      <c r="H63" s="141"/>
      <c r="I63" s="141"/>
      <c r="J63" s="141"/>
    </row>
    <row r="64" spans="2:11" ht="15">
      <c r="B64" s="31" t="s">
        <v>50</v>
      </c>
      <c r="C64" s="31" t="s">
        <v>51</v>
      </c>
      <c r="D64" s="31" t="s">
        <v>52</v>
      </c>
      <c r="E64" s="31" t="s">
        <v>73</v>
      </c>
      <c r="G64" s="31" t="s">
        <v>50</v>
      </c>
      <c r="H64" s="31" t="s">
        <v>51</v>
      </c>
      <c r="I64" s="31" t="s">
        <v>52</v>
      </c>
      <c r="J64" s="31" t="s">
        <v>73</v>
      </c>
      <c r="K64" s="81"/>
    </row>
    <row r="65" spans="1:10" ht="15">
      <c r="A65" t="s">
        <v>49</v>
      </c>
      <c r="B65" s="63">
        <v>-276891612</v>
      </c>
      <c r="C65" s="63">
        <v>237477938</v>
      </c>
      <c r="D65" s="63">
        <v>319854772</v>
      </c>
      <c r="E65" s="63">
        <v>-167379810</v>
      </c>
      <c r="G65" s="88">
        <f>B65*$G$3</f>
        <v>0</v>
      </c>
      <c r="H65" s="89">
        <f>C65*$G$3</f>
        <v>0</v>
      </c>
      <c r="I65" s="88">
        <f>D65*$G$3</f>
        <v>0</v>
      </c>
      <c r="J65" s="88">
        <f>E65*$G$3</f>
        <v>0</v>
      </c>
    </row>
    <row r="66" spans="1:10" ht="18.75" customHeight="1">
      <c r="A66" s="84" t="s">
        <v>25</v>
      </c>
      <c r="B66" s="33">
        <v>5</v>
      </c>
      <c r="C66" s="33">
        <v>5</v>
      </c>
      <c r="D66" s="33">
        <v>5</v>
      </c>
      <c r="E66" s="87">
        <v>5</v>
      </c>
      <c r="G66" s="33">
        <v>5</v>
      </c>
      <c r="H66" s="33">
        <v>5</v>
      </c>
      <c r="I66" s="87">
        <v>5</v>
      </c>
      <c r="J66" s="87">
        <v>5</v>
      </c>
    </row>
    <row r="67" spans="1:10" ht="15">
      <c r="A67" s="13" t="s">
        <v>15</v>
      </c>
      <c r="B67" s="20">
        <v>55378322</v>
      </c>
      <c r="C67" s="34"/>
      <c r="G67" s="68">
        <f>B67*$G$3</f>
        <v>0</v>
      </c>
      <c r="I67"/>
      <c r="J67" s="5"/>
    </row>
    <row r="68" spans="1:10" ht="15">
      <c r="A68" s="13" t="s">
        <v>16</v>
      </c>
      <c r="B68" s="12">
        <v>55378322</v>
      </c>
      <c r="C68" s="20">
        <v>-47495588</v>
      </c>
      <c r="D68" s="20"/>
      <c r="G68" s="41">
        <f>B68*$G$3</f>
        <v>0</v>
      </c>
      <c r="H68" s="9">
        <f>C68*$G$3</f>
        <v>0</v>
      </c>
      <c r="I68"/>
      <c r="J68" s="32"/>
    </row>
    <row r="69" spans="1:10" ht="15">
      <c r="A69" s="13" t="s">
        <v>17</v>
      </c>
      <c r="B69" s="12">
        <v>55378322</v>
      </c>
      <c r="C69" s="12">
        <v>-47495588</v>
      </c>
      <c r="D69" s="20">
        <v>-63970954</v>
      </c>
      <c r="G69" s="41">
        <f>B69*$G$3</f>
        <v>0</v>
      </c>
      <c r="H69" s="1">
        <f>C69*$G$3</f>
        <v>0</v>
      </c>
      <c r="I69" s="9">
        <f>D69*$G$3</f>
        <v>0</v>
      </c>
      <c r="J69" s="13"/>
    </row>
    <row r="70" spans="1:10" ht="15">
      <c r="A70" s="13" t="s">
        <v>18</v>
      </c>
      <c r="B70" s="12">
        <v>55378322</v>
      </c>
      <c r="C70" s="12">
        <v>-47495588</v>
      </c>
      <c r="D70" s="12">
        <v>-63970954</v>
      </c>
      <c r="E70" s="12">
        <f>-E65/E66</f>
        <v>33475962</v>
      </c>
      <c r="G70" s="41">
        <f>B70*$G$3</f>
        <v>0</v>
      </c>
      <c r="H70" s="1">
        <f>C70*$G$3</f>
        <v>0</v>
      </c>
      <c r="I70" s="1">
        <f>D70*$G$3</f>
        <v>0</v>
      </c>
      <c r="J70" s="9">
        <f>E70*$G$3</f>
        <v>0</v>
      </c>
    </row>
    <row r="71" spans="1:10" ht="15">
      <c r="A71" s="13" t="s">
        <v>19</v>
      </c>
      <c r="B71" s="12">
        <v>55378324</v>
      </c>
      <c r="C71" s="12">
        <v>-47495588</v>
      </c>
      <c r="D71" s="12">
        <v>-63970954</v>
      </c>
      <c r="E71" s="12">
        <f>E70</f>
        <v>33475962</v>
      </c>
      <c r="G71" s="41">
        <f>(B71*$G$3)</f>
        <v>0</v>
      </c>
      <c r="H71" s="1">
        <f>C71*$G$3</f>
        <v>0</v>
      </c>
      <c r="I71" s="1">
        <f>D71*$G$3</f>
        <v>0</v>
      </c>
      <c r="J71" s="1">
        <f>E71*$G$3</f>
        <v>0</v>
      </c>
    </row>
    <row r="72" spans="1:10" ht="15">
      <c r="A72" s="13" t="s">
        <v>20</v>
      </c>
      <c r="B72" s="34">
        <v>0</v>
      </c>
      <c r="C72" s="12">
        <v>-47495586</v>
      </c>
      <c r="D72" s="12">
        <v>-63970954</v>
      </c>
      <c r="E72" s="12">
        <f>E70</f>
        <v>33475962</v>
      </c>
      <c r="G72" s="40">
        <v>0</v>
      </c>
      <c r="H72" s="1">
        <f>(C72*$G$3)</f>
        <v>0</v>
      </c>
      <c r="I72" s="1">
        <f>D72*$G$3</f>
        <v>0</v>
      </c>
      <c r="J72" s="1">
        <f>E72*$G$3</f>
        <v>0</v>
      </c>
    </row>
    <row r="73" spans="1:10" ht="15">
      <c r="A73" s="13" t="s">
        <v>30</v>
      </c>
      <c r="B73" s="34">
        <v>0</v>
      </c>
      <c r="C73" s="12">
        <v>0</v>
      </c>
      <c r="D73" s="12">
        <v>-63970956</v>
      </c>
      <c r="E73" s="12">
        <f>E70</f>
        <v>33475962</v>
      </c>
      <c r="G73" s="40">
        <v>0</v>
      </c>
      <c r="H73" s="34">
        <v>0</v>
      </c>
      <c r="I73" s="1">
        <f>(D73*$G$3)</f>
        <v>0</v>
      </c>
      <c r="J73" s="1">
        <f>E73*$G$3</f>
        <v>0</v>
      </c>
    </row>
    <row r="74" spans="1:10" ht="15">
      <c r="A74" s="13" t="s">
        <v>55</v>
      </c>
      <c r="B74" s="34">
        <v>0</v>
      </c>
      <c r="C74" s="12">
        <v>0</v>
      </c>
      <c r="D74" s="12">
        <v>0</v>
      </c>
      <c r="E74" s="12">
        <f>E70</f>
        <v>33475962</v>
      </c>
      <c r="G74" s="40">
        <v>0</v>
      </c>
      <c r="H74" s="34">
        <v>0</v>
      </c>
      <c r="I74" s="34">
        <f>D74*$G$3</f>
        <v>0</v>
      </c>
      <c r="J74" s="1">
        <f>E74*$G$3</f>
        <v>0</v>
      </c>
    </row>
    <row r="75" spans="1:10" ht="15">
      <c r="A75" s="13" t="s">
        <v>31</v>
      </c>
      <c r="B75" s="34">
        <v>0</v>
      </c>
      <c r="C75" s="12">
        <v>0</v>
      </c>
      <c r="D75" s="12">
        <v>0</v>
      </c>
      <c r="G75" s="40">
        <v>0</v>
      </c>
      <c r="H75" s="34">
        <v>0</v>
      </c>
      <c r="I75" s="34">
        <f>D75*$G$3</f>
        <v>0</v>
      </c>
      <c r="J75" s="1">
        <f>E75*$G$3</f>
        <v>0</v>
      </c>
    </row>
    <row r="76" spans="2:9" ht="6" customHeight="1">
      <c r="B76" s="34"/>
      <c r="C76" s="12"/>
      <c r="G76" s="39"/>
      <c r="I76"/>
    </row>
    <row r="77" spans="1:10" ht="15">
      <c r="A77" s="60" t="s">
        <v>71</v>
      </c>
      <c r="B77" s="7">
        <f>SUM(B71:B75)</f>
        <v>55378324</v>
      </c>
      <c r="C77" s="7">
        <f>SUM(C71:C75)</f>
        <v>-94991174</v>
      </c>
      <c r="D77" s="7">
        <f>SUM(D71:D75)</f>
        <v>-191912864</v>
      </c>
      <c r="E77" s="7">
        <f>SUM(E71:E75)</f>
        <v>133903848</v>
      </c>
      <c r="G77" s="7">
        <f>SUM(G71:G75)</f>
        <v>0</v>
      </c>
      <c r="H77" s="7">
        <f>SUM(H71:H75)</f>
        <v>0</v>
      </c>
      <c r="I77" s="7">
        <f>SUM(I71:I75)</f>
        <v>0</v>
      </c>
      <c r="J77" s="7">
        <f>SUM(J71:J75)</f>
        <v>0</v>
      </c>
    </row>
    <row r="78" spans="1:11" ht="15">
      <c r="A78" s="94" t="s">
        <v>61</v>
      </c>
      <c r="B78" s="148">
        <f>SUM(B65,B67,B68,B69,C65,C68,C69,D65,D69,B70,C70,D70,E65,E70)</f>
        <v>97621866</v>
      </c>
      <c r="C78" s="148"/>
      <c r="D78" s="148"/>
      <c r="E78" s="148"/>
      <c r="G78" s="149">
        <f>SUM(G65,G67,G68,G69,H65,H68,H69,I65,I69,J65,G70,H70,I70,J70)</f>
        <v>0</v>
      </c>
      <c r="H78" s="149"/>
      <c r="I78" s="149"/>
      <c r="J78" s="149"/>
      <c r="K78" s="85"/>
    </row>
    <row r="79" spans="1:11" ht="15">
      <c r="A79" s="94"/>
      <c r="B79" s="122"/>
      <c r="C79" s="122"/>
      <c r="D79" s="122"/>
      <c r="G79" s="85"/>
      <c r="H79" s="85"/>
      <c r="J79" s="85"/>
      <c r="K79" s="85"/>
    </row>
    <row r="80" spans="1:11" ht="16.5" thickBot="1">
      <c r="A80" s="118" t="s">
        <v>102</v>
      </c>
      <c r="B80" s="118"/>
      <c r="C80" s="118"/>
      <c r="D80" s="118"/>
      <c r="E80" s="118"/>
      <c r="F80" s="118"/>
      <c r="G80" s="118"/>
      <c r="H80" s="118"/>
      <c r="I80" s="118"/>
      <c r="J80" s="118"/>
      <c r="K80" s="85"/>
    </row>
    <row r="81" spans="2:11" ht="16.5" thickBot="1">
      <c r="B81" s="136" t="s">
        <v>53</v>
      </c>
      <c r="C81" s="136"/>
      <c r="D81" s="136"/>
      <c r="E81" s="136"/>
      <c r="F81" s="104"/>
      <c r="G81" s="141">
        <f>$G$2</f>
        <v>0</v>
      </c>
      <c r="H81" s="141"/>
      <c r="I81" s="141"/>
      <c r="J81" s="141"/>
      <c r="K81" s="85"/>
    </row>
    <row r="82" spans="2:11" ht="15">
      <c r="B82" s="31" t="s">
        <v>50</v>
      </c>
      <c r="C82" s="31" t="s">
        <v>51</v>
      </c>
      <c r="D82" s="31" t="s">
        <v>52</v>
      </c>
      <c r="E82" s="31" t="s">
        <v>73</v>
      </c>
      <c r="F82" s="81"/>
      <c r="G82" s="31" t="s">
        <v>50</v>
      </c>
      <c r="H82" s="31" t="s">
        <v>51</v>
      </c>
      <c r="I82" s="31" t="s">
        <v>52</v>
      </c>
      <c r="J82" s="31" t="s">
        <v>73</v>
      </c>
      <c r="K82" s="85"/>
    </row>
    <row r="83" spans="1:11" ht="15">
      <c r="A83" t="s">
        <v>49</v>
      </c>
      <c r="B83" s="63">
        <v>0</v>
      </c>
      <c r="C83" s="63">
        <v>0</v>
      </c>
      <c r="D83" s="63">
        <v>0</v>
      </c>
      <c r="E83" s="63">
        <v>333189865</v>
      </c>
      <c r="F83" s="63"/>
      <c r="G83" s="63">
        <v>0</v>
      </c>
      <c r="H83" s="63">
        <v>0</v>
      </c>
      <c r="I83" s="63">
        <v>0</v>
      </c>
      <c r="J83" s="63">
        <f>E83*G3</f>
        <v>0</v>
      </c>
      <c r="K83" s="85"/>
    </row>
    <row r="84" spans="1:11" ht="17.25">
      <c r="A84" s="84" t="s">
        <v>24</v>
      </c>
      <c r="B84" s="33">
        <v>4.856</v>
      </c>
      <c r="C84" s="33">
        <v>4.796</v>
      </c>
      <c r="D84" s="33">
        <v>4.665</v>
      </c>
      <c r="E84" s="33">
        <v>4.553</v>
      </c>
      <c r="F84" s="33"/>
      <c r="G84" s="33">
        <v>4.856</v>
      </c>
      <c r="H84" s="33">
        <v>4.796</v>
      </c>
      <c r="I84" s="33">
        <v>4.665</v>
      </c>
      <c r="J84" s="33">
        <v>4.553</v>
      </c>
      <c r="K84" s="85"/>
    </row>
    <row r="85" spans="1:11" ht="15">
      <c r="A85" s="13" t="s">
        <v>15</v>
      </c>
      <c r="B85" s="20">
        <v>0</v>
      </c>
      <c r="G85" s="20">
        <v>0</v>
      </c>
      <c r="I85"/>
      <c r="J85" s="13"/>
      <c r="K85" s="85"/>
    </row>
    <row r="86" spans="1:11" ht="15">
      <c r="A86" s="13" t="s">
        <v>16</v>
      </c>
      <c r="B86" s="12">
        <v>0</v>
      </c>
      <c r="C86" s="20">
        <v>0</v>
      </c>
      <c r="D86" s="20"/>
      <c r="E86" s="20"/>
      <c r="F86" s="20"/>
      <c r="G86" s="12">
        <v>0</v>
      </c>
      <c r="H86" s="20">
        <v>0</v>
      </c>
      <c r="I86" s="20"/>
      <c r="J86" s="13"/>
      <c r="K86" s="85"/>
    </row>
    <row r="87" spans="1:11" ht="15">
      <c r="A87" s="13" t="s">
        <v>17</v>
      </c>
      <c r="B87" s="12">
        <v>0</v>
      </c>
      <c r="C87" s="12">
        <v>0</v>
      </c>
      <c r="D87" s="20">
        <v>0</v>
      </c>
      <c r="F87" s="20"/>
      <c r="G87" s="12">
        <v>0</v>
      </c>
      <c r="H87" s="12">
        <v>0</v>
      </c>
      <c r="I87" s="20">
        <v>0</v>
      </c>
      <c r="K87" s="85"/>
    </row>
    <row r="88" spans="1:11" ht="15">
      <c r="A88" s="13" t="s">
        <v>18</v>
      </c>
      <c r="B88" s="12">
        <v>0</v>
      </c>
      <c r="C88" s="12">
        <v>0</v>
      </c>
      <c r="D88" s="12">
        <v>0</v>
      </c>
      <c r="E88" s="20">
        <f>-E83/E84</f>
        <v>-73180291.01691192</v>
      </c>
      <c r="F88" s="12"/>
      <c r="G88" s="12">
        <v>0</v>
      </c>
      <c r="H88" s="12">
        <v>0</v>
      </c>
      <c r="I88" s="12">
        <v>0</v>
      </c>
      <c r="J88" s="20">
        <f>E88*$G$3</f>
        <v>0</v>
      </c>
      <c r="K88" s="85"/>
    </row>
    <row r="89" spans="1:11" ht="15">
      <c r="A89" s="13" t="s">
        <v>19</v>
      </c>
      <c r="B89" s="12">
        <v>0</v>
      </c>
      <c r="C89" s="12">
        <v>0</v>
      </c>
      <c r="D89" s="12">
        <v>0</v>
      </c>
      <c r="E89" s="12">
        <f>E88</f>
        <v>-73180291.01691192</v>
      </c>
      <c r="F89" s="12"/>
      <c r="G89" s="12">
        <v>0</v>
      </c>
      <c r="H89" s="12">
        <v>0</v>
      </c>
      <c r="I89" s="12">
        <v>0</v>
      </c>
      <c r="J89" s="82">
        <f aca="true" t="shared" si="1" ref="J89:J94">E89*$G$3</f>
        <v>0</v>
      </c>
      <c r="K89" s="85"/>
    </row>
    <row r="90" spans="1:11" ht="15">
      <c r="A90" s="13" t="s">
        <v>20</v>
      </c>
      <c r="B90" s="12">
        <v>0</v>
      </c>
      <c r="C90" s="12">
        <v>0</v>
      </c>
      <c r="D90" s="12">
        <v>0</v>
      </c>
      <c r="E90" s="12">
        <f>E88</f>
        <v>-73180291.01691192</v>
      </c>
      <c r="F90" s="12"/>
      <c r="G90" s="12">
        <v>0</v>
      </c>
      <c r="H90" s="12">
        <v>0</v>
      </c>
      <c r="I90" s="12">
        <v>0</v>
      </c>
      <c r="J90" s="82">
        <f t="shared" si="1"/>
        <v>0</v>
      </c>
      <c r="K90" s="85"/>
    </row>
    <row r="91" spans="1:11" ht="15">
      <c r="A91" s="13" t="s">
        <v>30</v>
      </c>
      <c r="B91" s="12">
        <v>0</v>
      </c>
      <c r="C91" s="12">
        <v>0</v>
      </c>
      <c r="D91" s="12">
        <v>0</v>
      </c>
      <c r="E91" s="12">
        <f>E88</f>
        <v>-73180291.01691192</v>
      </c>
      <c r="F91" s="12"/>
      <c r="G91" s="12">
        <v>0</v>
      </c>
      <c r="H91" s="12">
        <v>0</v>
      </c>
      <c r="I91" s="12">
        <v>0</v>
      </c>
      <c r="J91" s="82">
        <f t="shared" si="1"/>
        <v>0</v>
      </c>
      <c r="K91" s="85"/>
    </row>
    <row r="92" spans="1:11" ht="15">
      <c r="A92" s="13" t="s">
        <v>55</v>
      </c>
      <c r="B92" s="12">
        <v>0</v>
      </c>
      <c r="C92" s="12">
        <v>0</v>
      </c>
      <c r="D92" s="12">
        <v>0</v>
      </c>
      <c r="E92" s="12">
        <f>-(E83+SUM(E88:E91))</f>
        <v>-40468700.932352304</v>
      </c>
      <c r="F92" s="12"/>
      <c r="G92" s="12">
        <v>0</v>
      </c>
      <c r="H92" s="12">
        <v>0</v>
      </c>
      <c r="I92" s="12">
        <v>0</v>
      </c>
      <c r="J92" s="82">
        <f t="shared" si="1"/>
        <v>0</v>
      </c>
      <c r="K92" s="85"/>
    </row>
    <row r="93" spans="1:11" ht="15">
      <c r="A93" s="13" t="s">
        <v>72</v>
      </c>
      <c r="B93" s="12">
        <v>0</v>
      </c>
      <c r="C93" s="12">
        <v>0</v>
      </c>
      <c r="D93" s="12">
        <v>0</v>
      </c>
      <c r="E93" s="12">
        <v>0</v>
      </c>
      <c r="F93" s="12"/>
      <c r="G93" s="12">
        <v>0</v>
      </c>
      <c r="H93" s="12">
        <v>0</v>
      </c>
      <c r="I93" s="12">
        <v>0</v>
      </c>
      <c r="J93" s="82">
        <f t="shared" si="1"/>
        <v>0</v>
      </c>
      <c r="K93" s="85"/>
    </row>
    <row r="94" spans="1:11" ht="15">
      <c r="A94" s="13" t="s">
        <v>31</v>
      </c>
      <c r="B94" s="12">
        <v>0</v>
      </c>
      <c r="C94" s="12">
        <v>0</v>
      </c>
      <c r="D94" s="12">
        <v>0</v>
      </c>
      <c r="E94" s="12">
        <v>0</v>
      </c>
      <c r="F94" s="12"/>
      <c r="G94" s="12">
        <v>0</v>
      </c>
      <c r="H94" s="12">
        <v>0</v>
      </c>
      <c r="I94" s="12">
        <v>0</v>
      </c>
      <c r="J94" s="82">
        <f t="shared" si="1"/>
        <v>0</v>
      </c>
      <c r="K94" s="85"/>
    </row>
    <row r="95" spans="5:11" ht="4.5" customHeight="1">
      <c r="E95" s="12"/>
      <c r="F95" s="12"/>
      <c r="I95"/>
      <c r="J95" s="82"/>
      <c r="K95" s="85"/>
    </row>
    <row r="96" spans="1:11" ht="15">
      <c r="A96" s="60" t="s">
        <v>71</v>
      </c>
      <c r="B96" s="51">
        <f>SUM(B88:B94)</f>
        <v>0</v>
      </c>
      <c r="C96" s="51">
        <f>SUM(C88:C94)</f>
        <v>0</v>
      </c>
      <c r="D96" s="12">
        <f>SUM(D88:D94)</f>
        <v>0</v>
      </c>
      <c r="E96" s="12">
        <f>SUM(E89:E94)</f>
        <v>-260009573.98308808</v>
      </c>
      <c r="F96" s="12"/>
      <c r="G96" s="51">
        <f>SUM(G88:G94)</f>
        <v>0</v>
      </c>
      <c r="H96" s="51">
        <f>SUM(H88:H94)</f>
        <v>0</v>
      </c>
      <c r="I96" s="12">
        <f>SUM(I88:I94)</f>
        <v>0</v>
      </c>
      <c r="J96" s="82"/>
      <c r="K96" s="85"/>
    </row>
    <row r="97" spans="1:11" ht="15">
      <c r="A97" s="13"/>
      <c r="B97" s="66"/>
      <c r="D97" s="128" t="s">
        <v>59</v>
      </c>
      <c r="E97" s="67">
        <f>SUM(B83,C83,D83,E83,B85:B88,C86:C88,D87:D88,E88)</f>
        <v>260009573.98308808</v>
      </c>
      <c r="F97" s="12"/>
      <c r="G97" s="35"/>
      <c r="H97" s="35"/>
      <c r="I97" s="128" t="s">
        <v>59</v>
      </c>
      <c r="J97" s="67">
        <f>SUM(G83,H83,I83,J83,G85:G88,H86:H88,I87:I88,J88)</f>
        <v>0</v>
      </c>
      <c r="K97" s="85"/>
    </row>
    <row r="98" spans="1:11" ht="15">
      <c r="A98" s="13"/>
      <c r="B98" s="121"/>
      <c r="D98" s="121" t="s">
        <v>60</v>
      </c>
      <c r="E98" s="124">
        <v>0</v>
      </c>
      <c r="F98" s="12"/>
      <c r="G98" s="35"/>
      <c r="H98" s="35"/>
      <c r="I98" s="121" t="s">
        <v>60</v>
      </c>
      <c r="J98" s="124">
        <v>0</v>
      </c>
      <c r="K98" s="85"/>
    </row>
    <row r="99" spans="7:9" ht="15">
      <c r="G99" s="39"/>
      <c r="I99"/>
    </row>
    <row r="100" spans="1:10" ht="17.25">
      <c r="A100" s="32" t="s">
        <v>28</v>
      </c>
      <c r="B100" s="51"/>
      <c r="C100" s="51"/>
      <c r="D100" s="12"/>
      <c r="E100" s="12"/>
      <c r="F100" s="12"/>
      <c r="G100" s="51"/>
      <c r="H100" s="51"/>
      <c r="I100" s="51"/>
      <c r="J100" s="51"/>
    </row>
    <row r="101" spans="1:10" ht="17.25">
      <c r="A101" s="32" t="s">
        <v>29</v>
      </c>
      <c r="B101" s="66"/>
      <c r="D101" s="66"/>
      <c r="E101" s="66"/>
      <c r="F101" s="121"/>
      <c r="G101" s="66"/>
      <c r="H101" s="66"/>
      <c r="I101" s="93"/>
      <c r="J101" s="65"/>
    </row>
    <row r="102" spans="1:10" ht="15">
      <c r="A102" s="94"/>
      <c r="B102" s="121"/>
      <c r="D102" s="121"/>
      <c r="E102" s="121"/>
      <c r="F102" s="121"/>
      <c r="G102" s="120"/>
      <c r="H102" s="120"/>
      <c r="I102" s="93"/>
      <c r="J102" s="95"/>
    </row>
  </sheetData>
  <sheetProtection/>
  <mergeCells count="29">
    <mergeCell ref="A20:D20"/>
    <mergeCell ref="B81:E81"/>
    <mergeCell ref="G81:J81"/>
    <mergeCell ref="B63:E63"/>
    <mergeCell ref="B78:E78"/>
    <mergeCell ref="G63:J63"/>
    <mergeCell ref="B44:E44"/>
    <mergeCell ref="G44:J44"/>
    <mergeCell ref="A36:C36"/>
    <mergeCell ref="A38:C38"/>
    <mergeCell ref="A39:C39"/>
    <mergeCell ref="A42:H42"/>
    <mergeCell ref="G78:J78"/>
    <mergeCell ref="A1:G1"/>
    <mergeCell ref="A35:C35"/>
    <mergeCell ref="A33:C33"/>
    <mergeCell ref="A5:B5"/>
    <mergeCell ref="A6:B6"/>
    <mergeCell ref="A7:B7"/>
    <mergeCell ref="A22:C22"/>
    <mergeCell ref="A30:C30"/>
    <mergeCell ref="A26:C26"/>
    <mergeCell ref="A27:C27"/>
    <mergeCell ref="A29:C29"/>
    <mergeCell ref="A32:C32"/>
    <mergeCell ref="A28:C28"/>
    <mergeCell ref="A34:C34"/>
    <mergeCell ref="A17:D17"/>
    <mergeCell ref="A18:D18"/>
  </mergeCells>
  <printOptions horizontalCentered="1"/>
  <pageMargins left="0.25" right="0.25" top="0.25" bottom="0.25" header="0.05" footer="0.05"/>
  <pageSetup fitToHeight="0" fitToWidth="1" horizontalDpi="600" verticalDpi="600" orientation="landscape" scale="94" r:id="rId1"/>
  <headerFooter>
    <oddFooter>&amp;L&amp;A&amp;R&amp;P of &amp;N</oddFooter>
  </headerFooter>
  <rowBreaks count="1" manualBreakCount="1">
    <brk id="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7.28125" style="0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  <col min="6" max="6" width="1.7109375" style="0" customWidth="1"/>
    <col min="7" max="7" width="12.7109375" style="0" hidden="1" customWidth="1"/>
    <col min="8" max="8" width="2.7109375" style="0" hidden="1" customWidth="1"/>
  </cols>
  <sheetData>
    <row r="1" spans="1:6" ht="27" customHeight="1">
      <c r="A1" s="151" t="s">
        <v>48</v>
      </c>
      <c r="B1" s="151"/>
      <c r="C1" s="151"/>
      <c r="D1" s="151"/>
      <c r="E1" s="151"/>
      <c r="F1" s="151"/>
    </row>
    <row r="2" spans="2:8" ht="19.5" thickBot="1">
      <c r="B2" s="13"/>
      <c r="C2" s="97" t="s">
        <v>34</v>
      </c>
      <c r="D2" s="98"/>
      <c r="E2" s="97" t="s">
        <v>35</v>
      </c>
      <c r="G2" s="150" t="s">
        <v>38</v>
      </c>
      <c r="H2" s="150"/>
    </row>
    <row r="3" spans="1:8" ht="19.5" thickBot="1">
      <c r="A3" s="13"/>
      <c r="B3" s="13"/>
      <c r="C3" s="47">
        <f>'SCRS NPL Rollforward'!G2</f>
        <v>0</v>
      </c>
      <c r="D3" s="96"/>
      <c r="E3" s="47">
        <f>C3</f>
        <v>0</v>
      </c>
      <c r="G3" s="47">
        <f>C3</f>
        <v>0</v>
      </c>
      <c r="H3" s="45"/>
    </row>
    <row r="4" spans="1:5" ht="32.25" thickBot="1">
      <c r="A4" s="99" t="s">
        <v>36</v>
      </c>
      <c r="B4" s="13"/>
      <c r="C4" s="49"/>
      <c r="D4" s="13"/>
      <c r="E4" s="49"/>
    </row>
    <row r="5" spans="1:7" ht="30">
      <c r="A5" s="52" t="s">
        <v>79</v>
      </c>
      <c r="B5" s="23"/>
      <c r="C5" s="72"/>
      <c r="D5" s="23"/>
      <c r="E5" s="72"/>
      <c r="G5" s="12">
        <f>C5+E5</f>
        <v>0</v>
      </c>
    </row>
    <row r="6" spans="1:7" ht="30">
      <c r="A6" s="52" t="s">
        <v>80</v>
      </c>
      <c r="C6" s="1">
        <f>'SCRS NPL Rollforward'!G5</f>
        <v>0</v>
      </c>
      <c r="E6" s="1">
        <f>'PORS NPL Rollforward'!G5</f>
        <v>0</v>
      </c>
      <c r="G6" s="12">
        <f>C6+E6</f>
        <v>0</v>
      </c>
    </row>
    <row r="7" spans="1:7" ht="15">
      <c r="A7" s="46" t="s">
        <v>86</v>
      </c>
      <c r="C7" s="48">
        <f>C6-C5</f>
        <v>0</v>
      </c>
      <c r="E7" s="48">
        <f>E6-E5</f>
        <v>0</v>
      </c>
      <c r="G7" s="48">
        <f>G6-G5</f>
        <v>0</v>
      </c>
    </row>
    <row r="9" ht="32.25" thickBot="1">
      <c r="A9" s="99" t="s">
        <v>37</v>
      </c>
    </row>
    <row r="10" spans="1:5" ht="31.5" customHeight="1">
      <c r="A10" s="52" t="s">
        <v>81</v>
      </c>
      <c r="C10" s="72"/>
      <c r="E10" s="72"/>
    </row>
    <row r="11" spans="1:5" ht="32.25" customHeight="1">
      <c r="A11" s="52" t="s">
        <v>82</v>
      </c>
      <c r="C11" s="91">
        <f>-(SUM('SCRS NPL Rollforward'!B72:D75)+SUM('SCRS NPL Rollforward'!B52:B53,'SCRS NPL Rollforward'!D52:D55))*'SCRS NPL Rollforward'!G3</f>
        <v>0</v>
      </c>
      <c r="E11" s="91">
        <f>-(SUM('PORS NPL Rollforward'!B51:D54)+SUM('PORS NPL Rollforward'!B70:D73))*'PORS NPL Rollforward'!G3</f>
        <v>0</v>
      </c>
    </row>
    <row r="12" spans="1:5" ht="15">
      <c r="A12" s="52"/>
      <c r="C12" s="48">
        <f>C11-C10</f>
        <v>0</v>
      </c>
      <c r="E12" s="48">
        <f>E11-E10</f>
        <v>0</v>
      </c>
    </row>
    <row r="13" spans="1:5" ht="31.5" customHeight="1">
      <c r="A13" s="52" t="s">
        <v>83</v>
      </c>
      <c r="C13" s="72"/>
      <c r="E13" s="72"/>
    </row>
    <row r="14" spans="1:5" ht="28.5" customHeight="1">
      <c r="A14" s="52" t="s">
        <v>84</v>
      </c>
      <c r="C14" s="91">
        <f>(SUM('SCRS NPL Rollforward'!C52:C54))*'SCRS NPL Rollforward'!G3</f>
        <v>0</v>
      </c>
      <c r="E14" s="91">
        <f>0*'PORS NPL Rollforward'!G3</f>
        <v>0</v>
      </c>
    </row>
    <row r="15" spans="3:5" ht="15">
      <c r="C15" s="48">
        <f>C14-C13</f>
        <v>0</v>
      </c>
      <c r="E15" s="48">
        <f>E14-E13</f>
        <v>0</v>
      </c>
    </row>
    <row r="16" spans="1:5" ht="30">
      <c r="A16" s="46" t="s">
        <v>85</v>
      </c>
      <c r="C16" s="48">
        <f>C15-C12</f>
        <v>0</v>
      </c>
      <c r="E16" s="48">
        <f>E15-E12</f>
        <v>0</v>
      </c>
    </row>
    <row r="17" spans="1:5" ht="15">
      <c r="A17" s="46"/>
      <c r="C17" s="51"/>
      <c r="E17" s="51"/>
    </row>
    <row r="18" ht="48" thickBot="1">
      <c r="A18" s="99" t="s">
        <v>45</v>
      </c>
    </row>
    <row r="19" spans="1:5" ht="22.5" customHeight="1">
      <c r="A19" s="69" t="s">
        <v>87</v>
      </c>
      <c r="B19" s="70"/>
      <c r="C19" s="71">
        <f>-'SCRS NPL Rollforward'!E22</f>
        <v>1168847156</v>
      </c>
      <c r="D19" s="70"/>
      <c r="E19" s="71">
        <f>-'PORS NPL Rollforward'!E22</f>
        <v>192005864</v>
      </c>
    </row>
    <row r="20" spans="1:5" ht="24" customHeight="1">
      <c r="A20" s="52" t="s">
        <v>88</v>
      </c>
      <c r="C20" s="1">
        <f>C19*'SCRS NPL Rollforward'!G3</f>
        <v>0</v>
      </c>
      <c r="D20" s="1"/>
      <c r="E20" s="1">
        <f>E19*'PORS NPL Rollforward'!G3</f>
        <v>0</v>
      </c>
    </row>
    <row r="21" spans="1:5" ht="23.25" customHeight="1">
      <c r="A21" s="52" t="s">
        <v>89</v>
      </c>
      <c r="C21" s="72"/>
      <c r="E21" s="72"/>
    </row>
    <row r="22" spans="1:5" ht="45">
      <c r="A22" s="50" t="s">
        <v>39</v>
      </c>
      <c r="B22" s="36"/>
      <c r="C22" s="48">
        <f>C21-C20</f>
        <v>0</v>
      </c>
      <c r="D22" s="37"/>
      <c r="E22" s="48">
        <f>E21-E20</f>
        <v>0</v>
      </c>
    </row>
    <row r="24" spans="1:5" ht="15.75" thickBot="1">
      <c r="A24" s="46" t="s">
        <v>43</v>
      </c>
      <c r="C24" s="10">
        <f>C7+C15-C12+C22</f>
        <v>0</v>
      </c>
      <c r="E24" s="10">
        <f>E7+E15-E12+E22</f>
        <v>0</v>
      </c>
    </row>
    <row r="25" ht="15.75" thickTop="1">
      <c r="A25" s="46"/>
    </row>
    <row r="26" ht="16.5" thickBot="1">
      <c r="A26" s="99" t="s">
        <v>44</v>
      </c>
    </row>
    <row r="27" spans="1:5" s="54" customFormat="1" ht="30" customHeight="1">
      <c r="A27" s="100" t="s">
        <v>40</v>
      </c>
      <c r="B27" s="101"/>
      <c r="C27" s="102">
        <f>'SCRS NPL Rollforward'!E48</f>
        <v>4.073</v>
      </c>
      <c r="D27" s="101"/>
      <c r="E27" s="102">
        <v>4.553</v>
      </c>
    </row>
    <row r="28" s="19" customFormat="1" ht="30">
      <c r="A28" s="52" t="s">
        <v>90</v>
      </c>
    </row>
    <row r="29" spans="1:5" s="19" customFormat="1" ht="15">
      <c r="A29" s="53">
        <v>42916</v>
      </c>
      <c r="C29" s="55">
        <f>-C7/C27</f>
        <v>0</v>
      </c>
      <c r="E29" s="55">
        <f>-E7/E27</f>
        <v>0</v>
      </c>
    </row>
    <row r="30" spans="1:5" s="19" customFormat="1" ht="15">
      <c r="A30" s="53">
        <v>43281</v>
      </c>
      <c r="C30" s="55">
        <f>C29</f>
        <v>0</v>
      </c>
      <c r="E30" s="51">
        <f>E29</f>
        <v>0</v>
      </c>
    </row>
    <row r="31" spans="1:5" ht="15">
      <c r="A31" s="53">
        <v>43646</v>
      </c>
      <c r="C31" s="55">
        <f>C30</f>
        <v>0</v>
      </c>
      <c r="E31" s="12">
        <f>E30</f>
        <v>0</v>
      </c>
    </row>
    <row r="32" spans="1:5" ht="15">
      <c r="A32" s="53">
        <v>44012</v>
      </c>
      <c r="C32" s="12">
        <f>C31</f>
        <v>0</v>
      </c>
      <c r="E32" s="12">
        <f>E31</f>
        <v>0</v>
      </c>
    </row>
    <row r="33" spans="1:5" ht="15">
      <c r="A33" s="53">
        <v>44377</v>
      </c>
      <c r="C33" s="12">
        <f>-(C7+SUM(C29:C32))</f>
        <v>0</v>
      </c>
      <c r="E33" s="12">
        <f>-(E7+SUM(E29:E32))</f>
        <v>0</v>
      </c>
    </row>
    <row r="34" spans="1:5" ht="15">
      <c r="A34" s="53">
        <v>44742</v>
      </c>
      <c r="C34" s="34">
        <v>0</v>
      </c>
      <c r="E34" s="34">
        <v>0</v>
      </c>
    </row>
    <row r="36" ht="15.75" customHeight="1">
      <c r="A36" s="52" t="s">
        <v>91</v>
      </c>
    </row>
    <row r="37" spans="1:5" ht="15">
      <c r="A37" s="53">
        <v>42916</v>
      </c>
      <c r="C37" s="12">
        <f>-C16/C27</f>
        <v>0</v>
      </c>
      <c r="E37" s="12">
        <f>-E16/E27</f>
        <v>0</v>
      </c>
    </row>
    <row r="38" spans="1:5" ht="15">
      <c r="A38" s="53">
        <v>43281</v>
      </c>
      <c r="C38" s="12">
        <f>C37</f>
        <v>0</v>
      </c>
      <c r="E38" s="12">
        <f>E37</f>
        <v>0</v>
      </c>
    </row>
    <row r="39" spans="1:5" ht="15">
      <c r="A39" s="53">
        <v>43646</v>
      </c>
      <c r="B39" s="36"/>
      <c r="C39" s="12">
        <f>C38</f>
        <v>0</v>
      </c>
      <c r="D39" s="37"/>
      <c r="E39" s="12">
        <f>E38</f>
        <v>0</v>
      </c>
    </row>
    <row r="40" spans="1:5" ht="15">
      <c r="A40" s="53">
        <v>44012</v>
      </c>
      <c r="B40" s="36"/>
      <c r="C40" s="12">
        <f>C39</f>
        <v>0</v>
      </c>
      <c r="D40" s="37"/>
      <c r="E40" s="12">
        <f>E39</f>
        <v>0</v>
      </c>
    </row>
    <row r="41" spans="1:5" ht="15">
      <c r="A41" s="53">
        <v>44377</v>
      </c>
      <c r="B41" s="56"/>
      <c r="C41" s="12">
        <f>-(C16+SUM(C37:C40))</f>
        <v>0</v>
      </c>
      <c r="D41" s="56"/>
      <c r="E41" s="12">
        <f>-(E16+SUM(E37:E40))</f>
        <v>0</v>
      </c>
    </row>
    <row r="42" spans="1:5" ht="15">
      <c r="A42" s="53">
        <v>44742</v>
      </c>
      <c r="B42" s="56"/>
      <c r="C42" s="34">
        <v>0</v>
      </c>
      <c r="D42" s="56"/>
      <c r="E42" s="34">
        <v>0</v>
      </c>
    </row>
    <row r="44" ht="45">
      <c r="A44" s="52" t="s">
        <v>41</v>
      </c>
    </row>
    <row r="45" spans="1:5" ht="15">
      <c r="A45" s="53">
        <v>42916</v>
      </c>
      <c r="B45" s="32"/>
      <c r="C45" s="12">
        <f>-C22/C27</f>
        <v>0</v>
      </c>
      <c r="D45" s="32"/>
      <c r="E45" s="12">
        <f>-E22/E27</f>
        <v>0</v>
      </c>
    </row>
    <row r="46" spans="1:5" ht="15">
      <c r="A46" s="53">
        <v>43281</v>
      </c>
      <c r="C46" s="12">
        <f>C45</f>
        <v>0</v>
      </c>
      <c r="E46" s="12">
        <f>E45</f>
        <v>0</v>
      </c>
    </row>
    <row r="47" spans="1:5" ht="15">
      <c r="A47" s="53">
        <v>43646</v>
      </c>
      <c r="C47" s="12">
        <f>C46</f>
        <v>0</v>
      </c>
      <c r="E47" s="12">
        <f>E46</f>
        <v>0</v>
      </c>
    </row>
    <row r="48" spans="1:5" ht="15">
      <c r="A48" s="53">
        <v>44012</v>
      </c>
      <c r="C48" s="12">
        <f>C47</f>
        <v>0</v>
      </c>
      <c r="E48" s="12">
        <f>E47</f>
        <v>0</v>
      </c>
    </row>
    <row r="49" spans="1:5" ht="15">
      <c r="A49" s="53">
        <v>44377</v>
      </c>
      <c r="C49" s="12">
        <f>-(C22+SUM(C45:C48))</f>
        <v>0</v>
      </c>
      <c r="D49" s="34"/>
      <c r="E49" s="12">
        <f>-(E22+SUM(E45:E48))</f>
        <v>0</v>
      </c>
    </row>
    <row r="50" spans="1:5" ht="15">
      <c r="A50" s="53">
        <v>44742</v>
      </c>
      <c r="C50" s="34">
        <v>0</v>
      </c>
      <c r="D50" s="34"/>
      <c r="E50" s="34">
        <v>0</v>
      </c>
    </row>
    <row r="52" ht="15">
      <c r="A52" s="46" t="s">
        <v>42</v>
      </c>
    </row>
    <row r="53" spans="1:7" ht="15">
      <c r="A53" s="53">
        <v>42916</v>
      </c>
      <c r="C53" s="12">
        <f aca="true" t="shared" si="0" ref="C53:C58">C29+C37+C45</f>
        <v>0</v>
      </c>
      <c r="E53" s="12">
        <f aca="true" t="shared" si="1" ref="E53:E58">E29+E37+E45</f>
        <v>0</v>
      </c>
      <c r="G53" s="75"/>
    </row>
    <row r="54" spans="1:7" ht="15">
      <c r="A54" s="53">
        <v>43281</v>
      </c>
      <c r="C54" s="12">
        <f t="shared" si="0"/>
        <v>0</v>
      </c>
      <c r="E54" s="12">
        <f t="shared" si="1"/>
        <v>0</v>
      </c>
      <c r="G54" s="75"/>
    </row>
    <row r="55" spans="1:7" ht="15">
      <c r="A55" s="53">
        <v>43646</v>
      </c>
      <c r="C55" s="12">
        <f t="shared" si="0"/>
        <v>0</v>
      </c>
      <c r="E55" s="12">
        <f t="shared" si="1"/>
        <v>0</v>
      </c>
      <c r="G55" s="75"/>
    </row>
    <row r="56" spans="1:7" ht="15">
      <c r="A56" s="53">
        <v>44012</v>
      </c>
      <c r="B56" s="5"/>
      <c r="C56" s="12">
        <f t="shared" si="0"/>
        <v>0</v>
      </c>
      <c r="D56" s="5"/>
      <c r="E56" s="12">
        <f t="shared" si="1"/>
        <v>0</v>
      </c>
      <c r="G56" s="75"/>
    </row>
    <row r="57" spans="1:5" ht="15">
      <c r="A57" s="53">
        <v>44377</v>
      </c>
      <c r="B57" s="32"/>
      <c r="C57" s="12">
        <f t="shared" si="0"/>
        <v>0</v>
      </c>
      <c r="D57" s="32"/>
      <c r="E57" s="12">
        <f t="shared" si="1"/>
        <v>0</v>
      </c>
    </row>
    <row r="58" spans="1:5" ht="15">
      <c r="A58" s="53">
        <v>44742</v>
      </c>
      <c r="B58" s="32"/>
      <c r="C58" s="12">
        <f t="shared" si="0"/>
        <v>0</v>
      </c>
      <c r="D58" s="32"/>
      <c r="E58" s="12">
        <f t="shared" si="1"/>
        <v>0</v>
      </c>
    </row>
    <row r="59" spans="2:5" ht="15.75" thickBot="1">
      <c r="B59" s="13"/>
      <c r="C59" s="57">
        <f>SUM(C53:C58)</f>
        <v>0</v>
      </c>
      <c r="D59" s="13"/>
      <c r="E59" s="57">
        <f>SUM(E53:E58)</f>
        <v>0</v>
      </c>
    </row>
    <row r="60" spans="2:5" ht="15.75" thickTop="1">
      <c r="B60" s="13"/>
      <c r="C60" s="12">
        <f>C59+C24</f>
        <v>0</v>
      </c>
      <c r="D60" s="13"/>
      <c r="E60" s="12">
        <f>E59+E24</f>
        <v>0</v>
      </c>
    </row>
    <row r="61" spans="1:5" ht="27" customHeight="1">
      <c r="A61" s="46" t="s">
        <v>103</v>
      </c>
      <c r="B61" s="13"/>
      <c r="C61" s="12">
        <f>-C53</f>
        <v>0</v>
      </c>
      <c r="D61" s="13"/>
      <c r="E61" s="12">
        <f>-E53</f>
        <v>0</v>
      </c>
    </row>
    <row r="62" spans="1:5" ht="27" customHeight="1">
      <c r="A62" s="46" t="s">
        <v>95</v>
      </c>
      <c r="B62" s="13"/>
      <c r="C62" s="92"/>
      <c r="D62" s="13"/>
      <c r="E62" s="92"/>
    </row>
    <row r="63" spans="1:7" ht="27" customHeight="1">
      <c r="A63" s="46" t="s">
        <v>92</v>
      </c>
      <c r="B63" s="13"/>
      <c r="C63" s="92"/>
      <c r="D63" s="13"/>
      <c r="E63" s="92"/>
      <c r="G63" s="12"/>
    </row>
    <row r="64" spans="1:7" ht="16.5" customHeight="1" thickBot="1">
      <c r="A64" s="46" t="s">
        <v>93</v>
      </c>
      <c r="B64" s="13"/>
      <c r="C64" s="10">
        <f>SUM(C61:C63)</f>
        <v>0</v>
      </c>
      <c r="D64" s="13"/>
      <c r="E64" s="10">
        <f>SUM(E61:E63)</f>
        <v>0</v>
      </c>
      <c r="G64" s="12"/>
    </row>
    <row r="65" spans="1:7" ht="15.75" customHeight="1" thickTop="1">
      <c r="A65" s="46"/>
      <c r="B65" s="13"/>
      <c r="C65" s="12"/>
      <c r="D65" s="13"/>
      <c r="E65" s="12"/>
      <c r="G65" s="12"/>
    </row>
    <row r="66" spans="1:5" ht="30">
      <c r="A66" s="46" t="s">
        <v>104</v>
      </c>
      <c r="B66" s="13"/>
      <c r="C66" s="12">
        <f>-SUM(C54:C58)</f>
        <v>0</v>
      </c>
      <c r="D66" s="13"/>
      <c r="E66" s="12">
        <f>-SUM(E54:E58)</f>
        <v>0</v>
      </c>
    </row>
    <row r="67" spans="1:5" ht="30">
      <c r="A67" s="46" t="s">
        <v>94</v>
      </c>
      <c r="B67" s="13"/>
      <c r="C67" s="92"/>
      <c r="D67" s="13"/>
      <c r="E67" s="92"/>
    </row>
    <row r="68" spans="1:5" ht="30">
      <c r="A68" s="46" t="s">
        <v>96</v>
      </c>
      <c r="B68" s="13"/>
      <c r="C68" s="126"/>
      <c r="D68" s="13"/>
      <c r="E68" s="126"/>
    </row>
    <row r="70" spans="1:5" ht="30">
      <c r="A70" s="50" t="s">
        <v>105</v>
      </c>
      <c r="C70" s="127">
        <f>C66+C67</f>
        <v>0</v>
      </c>
      <c r="E70" s="127">
        <f>E66+E68</f>
        <v>0</v>
      </c>
    </row>
    <row r="71" spans="1:5" ht="30">
      <c r="A71" s="50" t="s">
        <v>106</v>
      </c>
      <c r="C71" s="127">
        <f>C68</f>
        <v>0</v>
      </c>
      <c r="E71" s="127">
        <f>E67</f>
        <v>0</v>
      </c>
    </row>
  </sheetData>
  <sheetProtection/>
  <mergeCells count="2">
    <mergeCell ref="G2:H2"/>
    <mergeCell ref="A1:F1"/>
  </mergeCells>
  <printOptions/>
  <pageMargins left="0.2" right="0.2" top="0.25" bottom="0.25" header="0.05" footer="0.05"/>
  <pageSetup fitToHeight="0" fitToWidth="1" horizontalDpi="600" verticalDpi="600" orientation="portrait" scale="99" r:id="rId3"/>
  <headerFooter>
    <oddFooter>&amp;L&amp;A&amp;R&amp;P of &amp;N</oddFooter>
  </headerFooter>
  <rowBreaks count="1" manualBreakCount="1">
    <brk id="2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Angie Warren</cp:lastModifiedBy>
  <cp:lastPrinted>2017-12-15T16:02:37Z</cp:lastPrinted>
  <dcterms:created xsi:type="dcterms:W3CDTF">2014-04-30T12:35:24Z</dcterms:created>
  <dcterms:modified xsi:type="dcterms:W3CDTF">2018-02-22T19:25:38Z</dcterms:modified>
  <cp:category/>
  <cp:version/>
  <cp:contentType/>
  <cp:contentStatus/>
</cp:coreProperties>
</file>